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tabRatio="604" activeTab="1"/>
  </bookViews>
  <sheets>
    <sheet name="Prihodi i rashodi po EK.K" sheetId="1" r:id="rId1"/>
    <sheet name="Prihodi i rashodi PR,EK i IZ" sheetId="2" r:id="rId2"/>
  </sheets>
  <definedNames>
    <definedName name="_xlnm.Print_Area" localSheetId="0">'Prihodi i rashodi po EK.K'!$A$1:$G$103</definedName>
    <definedName name="_xlnm.Print_Area" localSheetId="1">'Prihodi i rashodi PR,EK i IZ'!$A$1:$H$585</definedName>
  </definedNames>
  <calcPr fullCalcOnLoad="1"/>
</workbook>
</file>

<file path=xl/sharedStrings.xml><?xml version="1.0" encoding="utf-8"?>
<sst xmlns="http://schemas.openxmlformats.org/spreadsheetml/2006/main" count="879" uniqueCount="242">
  <si>
    <t>Naziv računa</t>
  </si>
  <si>
    <t xml:space="preserve"> Procjena 2005.</t>
  </si>
  <si>
    <t xml:space="preserve"> Procjena 2006.</t>
  </si>
  <si>
    <t>UKUPNO A/Tpr./Kpr.</t>
  </si>
  <si>
    <t>Rashodi za zaposlene</t>
  </si>
  <si>
    <t>Plaće</t>
  </si>
  <si>
    <t xml:space="preserve">Ostali rashodi za zaposlene </t>
  </si>
  <si>
    <t>Doprinosi na plaće</t>
  </si>
  <si>
    <t>Materijalni rashodi</t>
  </si>
  <si>
    <t>Naknade troškova zaposlenima</t>
  </si>
  <si>
    <t>Naknade za prijevoz, za rad na terenu i odvojeni život</t>
  </si>
  <si>
    <t>Rashodi za materijal i energiju</t>
  </si>
  <si>
    <t>Uredski materijal i ostali materijalni rashodi</t>
  </si>
  <si>
    <t>Rashodi za usluge</t>
  </si>
  <si>
    <t>Ostale usluge</t>
  </si>
  <si>
    <t>Ostali nespomenuti rashodi poslovanja</t>
  </si>
  <si>
    <t>Financijski rashodi</t>
  </si>
  <si>
    <t>Ostali financijski rashodi</t>
  </si>
  <si>
    <t>Postrojenja i oprema</t>
  </si>
  <si>
    <t>Rashodi za nabavu proizvedene dugotrajne imovine</t>
  </si>
  <si>
    <t xml:space="preserve">Naknade troškova osobama izvan radnog odnosa </t>
  </si>
  <si>
    <t xml:space="preserve">RASHODI PO IZVORIMA FINANCIRANJA </t>
  </si>
  <si>
    <t xml:space="preserve">Vlastiti prihodi </t>
  </si>
  <si>
    <t xml:space="preserve">Pomoći </t>
  </si>
  <si>
    <t>RASHODI I IZDACI</t>
  </si>
  <si>
    <t>PRIHODI I PRIMICI</t>
  </si>
  <si>
    <t xml:space="preserve">Račun prihoda/
primitka </t>
  </si>
  <si>
    <t>Pomoći od izvanproračunskih korisnika</t>
  </si>
  <si>
    <t>Pomoći iz inozemstva i od subjekata unutar općeg proračuna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</si>
  <si>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</si>
  <si>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</si>
  <si>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</si>
  <si>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</t>
  </si>
  <si>
    <t>Prihodi od prodaje proizvoda i robe te pruženih usluga i prihodi od donacija</t>
  </si>
  <si>
    <t>Prihodi po posebnim propisima</t>
  </si>
  <si>
    <t>UKUPNO Izvor financiranja Vlastiti prihodi - preneseni višak</t>
  </si>
  <si>
    <t>UKUPNO Izvor financiranja Prihodi za posebne namjene - preneseni višak</t>
  </si>
  <si>
    <t>Pomoći proračunskim korisnicima iz proračuna koji im nije nadležan</t>
  </si>
  <si>
    <t>Sveukupno rashodi</t>
  </si>
  <si>
    <t>Sveukupno prihodi</t>
  </si>
  <si>
    <t>Sveukupno prihodi + preneseni višak</t>
  </si>
  <si>
    <t xml:space="preserve">PRIHODI </t>
  </si>
  <si>
    <t>RASHODI</t>
  </si>
  <si>
    <t xml:space="preserve">Ukupni prihodi </t>
  </si>
  <si>
    <t>Ukupni rashodi</t>
  </si>
  <si>
    <t>Oznaka IF</t>
  </si>
  <si>
    <t xml:space="preserve">Naziv izvora financiranja </t>
  </si>
  <si>
    <t xml:space="preserve">KORIŠTENJE PRENESENOG VIŠKA </t>
  </si>
  <si>
    <t xml:space="preserve">Rashodi za usluge </t>
  </si>
  <si>
    <t xml:space="preserve">PREGLED UKUPNIH PRIHODA I RASHODA PO IZVORIMA FINANCIRANJA </t>
  </si>
  <si>
    <t>Indeks</t>
  </si>
  <si>
    <t>6=5/2*100</t>
  </si>
  <si>
    <t>7=5/4*100</t>
  </si>
  <si>
    <t>Račun rashoda/
izdatka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</si>
  <si>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</si>
  <si>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</si>
  <si>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</si>
  <si>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</si>
  <si>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</si>
  <si>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</si>
  <si>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</si>
  <si>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</si>
  <si>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</si>
  <si>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</si>
  <si>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</si>
  <si>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</si>
  <si>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</si>
  <si>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</si>
  <si>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</si>
  <si>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</si>
  <si>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</si>
  <si>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</si>
  <si>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</si>
  <si>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</si>
  <si>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</si>
  <si>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</si>
  <si>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</si>
  <si>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</si>
  <si>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</si>
  <si>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</si>
  <si>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</si>
  <si>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</si>
  <si>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</si>
  <si>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>4221</t>
  </si>
  <si>
    <t>Uredska oprema i namještaj</t>
  </si>
  <si>
    <t xml:space="preserve">RAZLIKA </t>
  </si>
  <si>
    <t xml:space="preserve">RAZLIKA  </t>
  </si>
  <si>
    <t xml:space="preserve">UKUPNO PRIHODI </t>
  </si>
  <si>
    <t>Ukupno</t>
  </si>
  <si>
    <t>UKUPNO RASHODI</t>
  </si>
  <si>
    <t>PO EKONOMSKOJ KLASIFIKACIJI</t>
  </si>
  <si>
    <t xml:space="preserve">IZVJEŠTAJ O IZVRŠENJU FINANCIJSKOG PLANA </t>
  </si>
  <si>
    <t>Ostali nespomenuti prihodi po posebnim propisima</t>
  </si>
  <si>
    <t xml:space="preserve">Donacije od pravnih i fizičkih osoba </t>
  </si>
  <si>
    <t>Pomoći iz drž.pror.temeljem prijenosa EU sredstava</t>
  </si>
  <si>
    <t>Stručno usavršavanje zaposlenika</t>
  </si>
  <si>
    <t>Materijal i sirovine</t>
  </si>
  <si>
    <t>Sitni inventar i auto gume</t>
  </si>
  <si>
    <t>Službena, radna i zaštitna odjeća i obuća</t>
  </si>
  <si>
    <t>Zakuonine i najamnine</t>
  </si>
  <si>
    <t>Zdravstvene i veterinarske usluge</t>
  </si>
  <si>
    <t>Intelektualne i osobne usluge</t>
  </si>
  <si>
    <t>Članarine i norme</t>
  </si>
  <si>
    <t>Knjige,umjetnička djela i ostale izložb.vrijednosti</t>
  </si>
  <si>
    <t>Knjige</t>
  </si>
  <si>
    <t xml:space="preserve">Naknade građanima i kućanstvima </t>
  </si>
  <si>
    <t>Ostale naknade građanima i kućanstvim aiz proračuna</t>
  </si>
  <si>
    <t>Naknade građanima i kućanstvima u naravi</t>
  </si>
  <si>
    <t>Kapitalne pomoći pror.korisnicima iz pror.koji im nije nadležan</t>
  </si>
  <si>
    <t>Ostali nespomenuti prihodi po mposebnim propisima</t>
  </si>
  <si>
    <t>Materijal i dijelovi za tekuće i investicijsko održ.</t>
  </si>
  <si>
    <t>Usluge telefona,pošte i prijevoza</t>
  </si>
  <si>
    <t>Rashodi za nabavu proizv.dugotrajne imovine</t>
  </si>
  <si>
    <t>Knjige,umjetnička djela</t>
  </si>
  <si>
    <t>Rashodi za nabavu nefinancijske imovine</t>
  </si>
  <si>
    <t>Plaće (bruto)</t>
  </si>
  <si>
    <t>Ostali rashodi za zaposlene</t>
  </si>
  <si>
    <t xml:space="preserve">Ostvarenje/
izvršenje 2020. </t>
  </si>
  <si>
    <t>Naknade građanima i kućastvima u novcu</t>
  </si>
  <si>
    <r>
      <t xml:space="preserve">IZVJEŠTAJ O IZVRŠENJU FINANCIJSKOG PLANA 
</t>
    </r>
    <r>
      <rPr>
        <b/>
        <sz val="16"/>
        <color indexed="10"/>
        <rFont val="Times New Roman"/>
        <family val="1"/>
      </rPr>
      <t>PO PROGRAMSKOJ, EKONOMSKOJ I IZVORIMA FINANCIRANJA</t>
    </r>
  </si>
  <si>
    <t>Prihodi od imovine</t>
  </si>
  <si>
    <t>Kamate na oročena sredstva i depozite po viđenje</t>
  </si>
  <si>
    <t>Usluge promidžbe i informiranja</t>
  </si>
  <si>
    <t>Premije osiguranja</t>
  </si>
  <si>
    <t>Tekuće donacije u novcu</t>
  </si>
  <si>
    <t>Ostali rashodi</t>
  </si>
  <si>
    <t>Višak prihoda</t>
  </si>
  <si>
    <t>Rezultat poslovanja</t>
  </si>
  <si>
    <t xml:space="preserve">PRIHODI PO IZVORIMA FINANCIRANJA </t>
  </si>
  <si>
    <t xml:space="preserve"> Tekuće pomoći prorač.korisnicima iz proračuna</t>
  </si>
  <si>
    <t>Naknade troškova osobama izvan radnog odnosa</t>
  </si>
  <si>
    <t>Knjige, umjetnička djela i ostale izložbene vrijednosti</t>
  </si>
  <si>
    <t>Ostale naknade građanima i kućanstvima u naravi</t>
  </si>
  <si>
    <t>Ravnatelj</t>
  </si>
  <si>
    <t>Izvorni plan 2021</t>
  </si>
  <si>
    <t>Tekući plan 2021/rebalans II.</t>
  </si>
  <si>
    <t xml:space="preserve">Ostvarenje/
izvršenje 2021. </t>
  </si>
  <si>
    <t>Tekući plan 2021</t>
  </si>
  <si>
    <t>Troškovi sudskih postupaka</t>
  </si>
  <si>
    <t>Zatezne kamate</t>
  </si>
  <si>
    <t>Naknada za korištenje privatnog automobila</t>
  </si>
  <si>
    <t>Manjak prihoda</t>
  </si>
  <si>
    <t>UKUPNO PRIHODI+PRENESENI VIŠAK/MANJAK</t>
  </si>
  <si>
    <t>Ostali prihodi</t>
  </si>
  <si>
    <t>Prihodi od obavljanja vlastite djelatnosti</t>
  </si>
  <si>
    <t>Tekuće pomoći od ostalih korisnika đržavnog proračuna</t>
  </si>
  <si>
    <t>Prihodi od financijske imovine</t>
  </si>
  <si>
    <t>kamate na depozite po viđenju</t>
  </si>
  <si>
    <t>Tekuće pomoći od ostalih korisnika đržavnog proračuna - za potzrebe projekta E-RAZMUS</t>
  </si>
  <si>
    <r>
      <t xml:space="preserve">Tekuće pomoći od </t>
    </r>
    <r>
      <rPr>
        <i/>
        <sz val="10"/>
        <rFont val="Times New Roman"/>
        <family val="1"/>
      </rPr>
      <t>lokalnog nenedležnog</t>
    </r>
    <r>
      <rPr>
        <i/>
        <sz val="11"/>
        <rFont val="Times New Roman"/>
        <family val="1"/>
      </rPr>
      <t xml:space="preserve"> proračuna</t>
    </r>
  </si>
  <si>
    <t>Tekuće pomoći od HZMO-a, HZZ-a i HZZO-a</t>
  </si>
  <si>
    <t>Višak prihoda poslovanja</t>
  </si>
  <si>
    <t>Vlastiti prihodi - najam</t>
  </si>
  <si>
    <t>Ostali izvori (volonteri, zadruga, stari papir,…)</t>
  </si>
  <si>
    <t>Izvor financiranja 3 - Vlastiti prihodi - najam - preneseni višak</t>
  </si>
  <si>
    <t>Izvor financiranja 4 Vlastiti prihodi - marende - preneseni višak</t>
  </si>
  <si>
    <t>Naknade za korištenje privatnog automobila zaposlenika</t>
  </si>
  <si>
    <t>Sitan inventar</t>
  </si>
  <si>
    <t>Zakupnine i najamnine uza opremu</t>
  </si>
  <si>
    <t>Obavezni i preventivni zdravstveni pregledi zaposlenika</t>
  </si>
  <si>
    <t>Aktivnost M033200A320001 Redovna programska djelatnost</t>
  </si>
  <si>
    <t>PROGRAM M033200 Minimalni fin. Standard</t>
  </si>
  <si>
    <t>Aktivnost M033200A320002 Redovno održavanje objekta</t>
  </si>
  <si>
    <t>Izvor financiranja  1.2.1. Grad</t>
  </si>
  <si>
    <t>Aktivnost M033200A320003 Kapitalna ulaganja u opremu</t>
  </si>
  <si>
    <t>PROGRAM M033201 Šire javne potrebe iznad min. Standarda</t>
  </si>
  <si>
    <t>Aktivnost M033201A320102 Izvan nastavne i školske aktivnosti</t>
  </si>
  <si>
    <t>Izvor financiranja  3.1.1. Vlastiti prihodi</t>
  </si>
  <si>
    <t>Izvor financiranja  5.4.1. Pomoći iz županijskog proračuna</t>
  </si>
  <si>
    <t>Izvor financiranja  5.5.1. Pomoći iz drugih proračuna</t>
  </si>
  <si>
    <t>ostali materijali za potrebe redovnog poslovanja</t>
  </si>
  <si>
    <t>Aktivnost M033201A320105 Pomoćnici u nastavi</t>
  </si>
  <si>
    <t>Izvor financiranja 1.1.1. Prihodi od grada</t>
  </si>
  <si>
    <t>Aktivnost M033201A320107 Nabava udžbenika i pribora</t>
  </si>
  <si>
    <t>Izvor financiranja 5.3.1. Pomoći iz državnog proraćuna</t>
  </si>
  <si>
    <t>Aktivnost M033201A320111 Prometni odgoj i sigurnost u prometu</t>
  </si>
  <si>
    <t>ostale uslugeza komunikaciju i prijevoz</t>
  </si>
  <si>
    <t>Aktivnost M033201A320112 Vlastita i namjenska sredstva osnovnih škola</t>
  </si>
  <si>
    <t>Ostale nespomenute usluge</t>
  </si>
  <si>
    <t>Aktivnost M033201A320125 Projekt E-škole</t>
  </si>
  <si>
    <t>Izvor financiranja  5.1.1. Pomoći od međunarodnih organizacija</t>
  </si>
  <si>
    <t>Promidžbeni materijal</t>
  </si>
  <si>
    <t>Premiije osiguranja</t>
  </si>
  <si>
    <t>Aktivnost M033201T320119 EU-projekti</t>
  </si>
  <si>
    <t>Aktivnost M033201T320122 "S pomoćnikom mogu bolje III"</t>
  </si>
  <si>
    <t>Aktivnost M033201T320125 "S pomoćnikom mogu bolje IV"</t>
  </si>
  <si>
    <t>PROGRAM M033202 Kapitalna ulaganja u osnovnu škoju - iznad standarda</t>
  </si>
  <si>
    <t>Aktivnost M033202T320215 Nabava školske lektire</t>
  </si>
  <si>
    <t>PROGRAM M033203 Rashodi za zaposlene u osnovnim školama</t>
  </si>
  <si>
    <t>Aktivnost M033203A320301 Rashodi za zaposlene</t>
  </si>
  <si>
    <t>Izvor financiranja  4.3.1. Vlastiti prihodi za posebne namjene</t>
  </si>
  <si>
    <t>Materijal i dijelovi za tekuće i inv. održananje objekata</t>
  </si>
  <si>
    <t>Izvor financiranja  4.3.1. Vlastiti prihodi - posebne namjene</t>
  </si>
  <si>
    <t>Materijal i dijelovi za tekuće i inv. Održavanje opreme</t>
  </si>
  <si>
    <t>Naknada za prijevoz</t>
  </si>
  <si>
    <t>Laboratorijske usluge</t>
  </si>
  <si>
    <t xml:space="preserve"> Pomoći iz državnog proraćuna</t>
  </si>
  <si>
    <t>5.3.1.</t>
  </si>
  <si>
    <t>Vlastiti prihodi - posebne namjene</t>
  </si>
  <si>
    <t xml:space="preserve">4.3.1. </t>
  </si>
  <si>
    <t>Pomoći iz drugih proračuna</t>
  </si>
  <si>
    <t xml:space="preserve">5.5.1. </t>
  </si>
  <si>
    <t xml:space="preserve">3.1.1. </t>
  </si>
  <si>
    <t xml:space="preserve">Prihodi od grada  </t>
  </si>
  <si>
    <t>1.</t>
  </si>
  <si>
    <t>Pomoći od međunarodnih organizacija</t>
  </si>
  <si>
    <t xml:space="preserve">5.1.1. </t>
  </si>
  <si>
    <t>Prihodi od grada</t>
  </si>
  <si>
    <t>3.1.1.</t>
  </si>
  <si>
    <t>Vlastiti prihodi - posebne namjene - marende</t>
  </si>
  <si>
    <t xml:space="preserve"> 4.3.1. </t>
  </si>
  <si>
    <t>Pomoći iz državnog proraćuna</t>
  </si>
  <si>
    <t xml:space="preserve">5.3.1. </t>
  </si>
  <si>
    <t>Pomoći iz županijskog proračuna</t>
  </si>
  <si>
    <t xml:space="preserve">5.4.1. </t>
  </si>
  <si>
    <t>Izvor financiranja 1 Prihodi grad</t>
  </si>
  <si>
    <t>Izvor financiranja 3.1.1. - Vlastiti prihodi - najam</t>
  </si>
  <si>
    <t>Izvor financiranja 4.3.1. - Vlastiti prihodi - marende</t>
  </si>
  <si>
    <t>Izvor financiranja 5.1.1. Pomoći od međunarodnih organizacija- projekt E-RAZMUS</t>
  </si>
  <si>
    <t>Izvor financiranja 5.5.1. Pomoći iz drugih proračuna</t>
  </si>
  <si>
    <t>Izvor financiranja 5.4.1. Pomoći iz županijskog proračuna</t>
  </si>
  <si>
    <t>UKUPNO Izvor financiranja Prihodi grad</t>
  </si>
  <si>
    <t>UKUPNO Izvor financiranja Pomoći iz državnog proraćuna</t>
  </si>
  <si>
    <t>UKUPNO Izvor financiranja Vlastiti prihodi - najam</t>
  </si>
  <si>
    <t>UKUPNO Izvor financiranja Vlastiti prihodi - marende</t>
  </si>
  <si>
    <t>UKUPNO Izvor financiranja Pomoći iz županijskog proračuna</t>
  </si>
  <si>
    <t>UKUPNO Izvor financiranja Pomoći iz drugih proračuna</t>
  </si>
  <si>
    <t>UKUPNO Izvor financiranja Pomoći od međunarodnih organizacija- projekt E-RAZMUS</t>
  </si>
  <si>
    <t>Izvor financiranja 6 ostalo (Zadruga, štete na tabletima i knjigama, uplate roditelji</t>
  </si>
  <si>
    <t>4.3.1.</t>
  </si>
  <si>
    <t>5 .1.1.</t>
  </si>
  <si>
    <t>5.5.1.</t>
  </si>
  <si>
    <t>Tekući plan 20121</t>
  </si>
  <si>
    <t>Izvor financiranja  1.2.1. Prihod grad</t>
  </si>
  <si>
    <t>Izvor financiranja  5.3.1. Pomoć državnog proraćuna</t>
  </si>
  <si>
    <t>Aktivnost M033201A320107 Hitne intervencije</t>
  </si>
  <si>
    <t>Aktivnost M033202K320201 Kupnja opreme za školu</t>
  </si>
  <si>
    <t>Aktivnost M033202k320215 Opremanje pametnih učionica</t>
  </si>
  <si>
    <t>Matija Šitum</t>
  </si>
  <si>
    <t>U Žrnovnici,</t>
  </si>
  <si>
    <t>22.02.2022.</t>
  </si>
  <si>
    <t>Vlastiti prihodi  - višak</t>
  </si>
</sst>
</file>

<file path=xl/styles.xml><?xml version="1.0" encoding="utf-8"?>
<styleSheet xmlns="http://schemas.openxmlformats.org/spreadsheetml/2006/main">
  <numFmts count="5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 ;\-#,##0\ "/>
    <numFmt numFmtId="205" formatCode="[$¥€-2]\ #,##0.00_);[Red]\([$€-2]\ #,##0.00\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4"/>
      <name val="Times New Roman"/>
      <family val="1"/>
    </font>
    <font>
      <b/>
      <sz val="16"/>
      <color indexed="10"/>
      <name val="Times New Roman"/>
      <family val="1"/>
    </font>
    <font>
      <i/>
      <sz val="10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1"/>
      <name val="Calibri"/>
      <family val="2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6"/>
      <color indexed="30"/>
      <name val="Times New Roman"/>
      <family val="1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i/>
      <sz val="16"/>
      <color rgb="FF0070C0"/>
      <name val="Times New Roman"/>
      <family val="1"/>
    </font>
    <font>
      <b/>
      <i/>
      <sz val="14"/>
      <color rgb="FFFF0000"/>
      <name val="Times New Roman"/>
      <family val="1"/>
    </font>
    <font>
      <b/>
      <sz val="16"/>
      <color rgb="FF000000"/>
      <name val="Times New Roman"/>
      <family val="1"/>
    </font>
    <font>
      <b/>
      <sz val="16"/>
      <color rgb="FFFF0000"/>
      <name val="Times New Roman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1" applyNumberFormat="0" applyFont="0" applyAlignment="0" applyProtection="0"/>
    <xf numFmtId="0" fontId="4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7" fillId="27" borderId="2" applyNumberFormat="0" applyAlignment="0" applyProtection="0"/>
    <xf numFmtId="0" fontId="48" fillId="27" borderId="3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3" fontId="37" fillId="0" borderId="0" xfId="0" applyNumberFormat="1" applyFont="1" applyBorder="1" applyAlignment="1">
      <alignment vertical="center"/>
    </xf>
    <xf numFmtId="0" fontId="61" fillId="0" borderId="0" xfId="0" applyFont="1" applyAlignment="1">
      <alignment vertical="center" wrapText="1"/>
    </xf>
    <xf numFmtId="3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 wrapText="1"/>
    </xf>
    <xf numFmtId="3" fontId="7" fillId="0" borderId="0" xfId="0" applyNumberFormat="1" applyFont="1" applyBorder="1" applyAlignment="1" quotePrefix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wrapText="1"/>
    </xf>
    <xf numFmtId="3" fontId="8" fillId="0" borderId="0" xfId="0" applyNumberFormat="1" applyFont="1" applyAlignment="1">
      <alignment horizontal="left"/>
    </xf>
    <xf numFmtId="3" fontId="9" fillId="0" borderId="13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49" fontId="9" fillId="0" borderId="0" xfId="0" applyNumberFormat="1" applyFont="1" applyBorder="1" applyAlignment="1" quotePrefix="1">
      <alignment horizontal="center" vertical="center" wrapText="1"/>
    </xf>
    <xf numFmtId="3" fontId="11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wrapText="1"/>
    </xf>
    <xf numFmtId="3" fontId="12" fillId="0" borderId="0" xfId="0" applyNumberFormat="1" applyFont="1" applyAlignment="1">
      <alignment/>
    </xf>
    <xf numFmtId="49" fontId="8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vertical="center"/>
    </xf>
    <xf numFmtId="0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 wrapText="1"/>
    </xf>
    <xf numFmtId="3" fontId="10" fillId="0" borderId="18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3" fontId="10" fillId="0" borderId="18" xfId="0" applyNumberFormat="1" applyFont="1" applyBorder="1" applyAlignment="1">
      <alignment vertical="center"/>
    </xf>
    <xf numFmtId="3" fontId="5" fillId="0" borderId="0" xfId="0" applyNumberFormat="1" applyFont="1" applyBorder="1" applyAlignment="1" quotePrefix="1">
      <alignment horizontal="center"/>
    </xf>
    <xf numFmtId="49" fontId="9" fillId="0" borderId="0" xfId="0" applyNumberFormat="1" applyFont="1" applyBorder="1" applyAlignment="1" quotePrefix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Alignment="1">
      <alignment/>
    </xf>
    <xf numFmtId="3" fontId="13" fillId="0" borderId="22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0" fillId="0" borderId="12" xfId="0" applyNumberFormat="1" applyFont="1" applyBorder="1" applyAlignment="1">
      <alignment horizontal="right" vertical="center" wrapText="1"/>
    </xf>
    <xf numFmtId="3" fontId="10" fillId="0" borderId="18" xfId="0" applyNumberFormat="1" applyFont="1" applyBorder="1" applyAlignment="1">
      <alignment horizontal="right" vertical="center" wrapText="1"/>
    </xf>
    <xf numFmtId="3" fontId="10" fillId="0" borderId="18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 quotePrefix="1">
      <alignment horizontal="left" vertical="center"/>
    </xf>
    <xf numFmtId="3" fontId="9" fillId="0" borderId="0" xfId="0" applyNumberFormat="1" applyFont="1" applyBorder="1" applyAlignment="1" quotePrefix="1">
      <alignment horizontal="right" vertical="center"/>
    </xf>
    <xf numFmtId="3" fontId="5" fillId="0" borderId="10" xfId="0" applyNumberFormat="1" applyFont="1" applyBorder="1" applyAlignment="1" quotePrefix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 wrapText="1"/>
    </xf>
    <xf numFmtId="3" fontId="13" fillId="0" borderId="27" xfId="0" applyNumberFormat="1" applyFont="1" applyBorder="1" applyAlignment="1" quotePrefix="1">
      <alignment horizontal="center" vertical="center" wrapText="1"/>
    </xf>
    <xf numFmtId="3" fontId="10" fillId="0" borderId="0" xfId="0" applyNumberFormat="1" applyFont="1" applyAlignment="1">
      <alignment/>
    </xf>
    <xf numFmtId="3" fontId="10" fillId="0" borderId="1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3" fontId="9" fillId="0" borderId="12" xfId="0" applyNumberFormat="1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left" vertical="center"/>
    </xf>
    <xf numFmtId="3" fontId="1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 wrapText="1"/>
    </xf>
    <xf numFmtId="3" fontId="10" fillId="0" borderId="12" xfId="0" applyNumberFormat="1" applyFont="1" applyBorder="1" applyAlignment="1">
      <alignment horizontal="left" vertical="center" wrapText="1"/>
    </xf>
    <xf numFmtId="3" fontId="9" fillId="0" borderId="12" xfId="0" applyNumberFormat="1" applyFont="1" applyBorder="1" applyAlignment="1" quotePrefix="1">
      <alignment horizontal="left" vertical="center"/>
    </xf>
    <xf numFmtId="3" fontId="9" fillId="0" borderId="12" xfId="0" applyNumberFormat="1" applyFont="1" applyBorder="1" applyAlignment="1" quotePrefix="1">
      <alignment horizontal="right" vertical="center"/>
    </xf>
    <xf numFmtId="3" fontId="10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vertical="center"/>
    </xf>
    <xf numFmtId="3" fontId="9" fillId="0" borderId="11" xfId="0" applyNumberFormat="1" applyFont="1" applyBorder="1" applyAlignment="1" quotePrefix="1">
      <alignment horizontal="center" vertical="center"/>
    </xf>
    <xf numFmtId="3" fontId="9" fillId="0" borderId="25" xfId="0" applyNumberFormat="1" applyFont="1" applyBorder="1" applyAlignment="1" quotePrefix="1">
      <alignment horizontal="center" vertical="center"/>
    </xf>
    <xf numFmtId="3" fontId="9" fillId="0" borderId="26" xfId="0" applyNumberFormat="1" applyFont="1" applyBorder="1" applyAlignment="1" quotePrefix="1">
      <alignment horizontal="left" vertical="center"/>
    </xf>
    <xf numFmtId="3" fontId="9" fillId="0" borderId="26" xfId="0" applyNumberFormat="1" applyFont="1" applyBorder="1" applyAlignment="1" quotePrefix="1">
      <alignment horizontal="right" vertical="center"/>
    </xf>
    <xf numFmtId="3" fontId="9" fillId="0" borderId="18" xfId="0" applyNumberFormat="1" applyFont="1" applyBorder="1" applyAlignment="1">
      <alignment horizontal="right"/>
    </xf>
    <xf numFmtId="0" fontId="10" fillId="0" borderId="18" xfId="0" applyFont="1" applyBorder="1" applyAlignment="1">
      <alignment horizontal="righ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/>
    </xf>
    <xf numFmtId="3" fontId="8" fillId="0" borderId="18" xfId="0" applyNumberFormat="1" applyFont="1" applyBorder="1" applyAlignment="1">
      <alignment/>
    </xf>
    <xf numFmtId="3" fontId="9" fillId="0" borderId="11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/>
    </xf>
    <xf numFmtId="0" fontId="10" fillId="0" borderId="1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 wrapText="1"/>
    </xf>
    <xf numFmtId="0" fontId="10" fillId="0" borderId="28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9" fillId="32" borderId="15" xfId="0" applyNumberFormat="1" applyFont="1" applyFill="1" applyBorder="1" applyAlignment="1">
      <alignment horizontal="right" vertical="center"/>
    </xf>
    <xf numFmtId="3" fontId="9" fillId="32" borderId="12" xfId="0" applyNumberFormat="1" applyFont="1" applyFill="1" applyBorder="1" applyAlignment="1">
      <alignment horizontal="right" vertical="center"/>
    </xf>
    <xf numFmtId="3" fontId="9" fillId="0" borderId="29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33" borderId="15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9" fillId="33" borderId="15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 wrapText="1"/>
    </xf>
    <xf numFmtId="0" fontId="9" fillId="33" borderId="11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 wrapText="1"/>
    </xf>
    <xf numFmtId="3" fontId="9" fillId="33" borderId="12" xfId="0" applyNumberFormat="1" applyFont="1" applyFill="1" applyBorder="1" applyAlignment="1">
      <alignment horizontal="right" vertical="center"/>
    </xf>
    <xf numFmtId="0" fontId="9" fillId="32" borderId="24" xfId="0" applyNumberFormat="1" applyFont="1" applyFill="1" applyBorder="1" applyAlignment="1">
      <alignment horizontal="left" vertical="center"/>
    </xf>
    <xf numFmtId="3" fontId="9" fillId="32" borderId="14" xfId="0" applyNumberFormat="1" applyFont="1" applyFill="1" applyBorder="1" applyAlignment="1">
      <alignment horizontal="left" vertical="center" wrapText="1"/>
    </xf>
    <xf numFmtId="3" fontId="9" fillId="32" borderId="14" xfId="0" applyNumberFormat="1" applyFont="1" applyFill="1" applyBorder="1" applyAlignment="1">
      <alignment horizontal="right" vertical="center"/>
    </xf>
    <xf numFmtId="0" fontId="9" fillId="32" borderId="11" xfId="0" applyNumberFormat="1" applyFont="1" applyFill="1" applyBorder="1" applyAlignment="1">
      <alignment horizontal="left" vertical="center"/>
    </xf>
    <xf numFmtId="3" fontId="9" fillId="32" borderId="12" xfId="0" applyNumberFormat="1" applyFont="1" applyFill="1" applyBorder="1" applyAlignment="1">
      <alignment horizontal="left" vertical="center" wrapText="1"/>
    </xf>
    <xf numFmtId="3" fontId="9" fillId="32" borderId="12" xfId="0" applyNumberFormat="1" applyFont="1" applyFill="1" applyBorder="1" applyAlignment="1">
      <alignment horizontal="right" vertical="center"/>
    </xf>
    <xf numFmtId="3" fontId="10" fillId="32" borderId="12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left" vertical="center"/>
    </xf>
    <xf numFmtId="0" fontId="9" fillId="32" borderId="15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 wrapText="1"/>
    </xf>
    <xf numFmtId="0" fontId="9" fillId="33" borderId="28" xfId="0" applyNumberFormat="1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horizontal="left" vertical="center" wrapText="1"/>
    </xf>
    <xf numFmtId="3" fontId="9" fillId="33" borderId="0" xfId="0" applyNumberFormat="1" applyFont="1" applyFill="1" applyBorder="1" applyAlignment="1">
      <alignment horizontal="right" vertical="center"/>
    </xf>
    <xf numFmtId="3" fontId="9" fillId="32" borderId="21" xfId="0" applyNumberFormat="1" applyFont="1" applyFill="1" applyBorder="1" applyAlignment="1">
      <alignment horizontal="right" vertical="center"/>
    </xf>
    <xf numFmtId="3" fontId="9" fillId="33" borderId="21" xfId="0" applyNumberFormat="1" applyFont="1" applyFill="1" applyBorder="1" applyAlignment="1">
      <alignment horizontal="right" vertical="center"/>
    </xf>
    <xf numFmtId="0" fontId="9" fillId="33" borderId="19" xfId="0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horizontal="right" vertical="center"/>
    </xf>
    <xf numFmtId="3" fontId="9" fillId="33" borderId="29" xfId="0" applyNumberFormat="1" applyFont="1" applyFill="1" applyBorder="1" applyAlignment="1">
      <alignment horizontal="right" vertical="center"/>
    </xf>
    <xf numFmtId="3" fontId="9" fillId="33" borderId="30" xfId="0" applyNumberFormat="1" applyFont="1" applyFill="1" applyBorder="1" applyAlignment="1">
      <alignment horizontal="right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left" vertical="center" wrapText="1"/>
    </xf>
    <xf numFmtId="3" fontId="10" fillId="33" borderId="18" xfId="0" applyNumberFormat="1" applyFont="1" applyFill="1" applyBorder="1" applyAlignment="1">
      <alignment horizontal="right" vertical="center" wrapText="1"/>
    </xf>
    <xf numFmtId="0" fontId="9" fillId="33" borderId="28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/>
    </xf>
    <xf numFmtId="3" fontId="9" fillId="33" borderId="0" xfId="0" applyNumberFormat="1" applyFont="1" applyFill="1" applyBorder="1" applyAlignment="1">
      <alignment horizontal="right" vertical="center" wrapText="1"/>
    </xf>
    <xf numFmtId="3" fontId="9" fillId="0" borderId="23" xfId="0" applyNumberFormat="1" applyFont="1" applyBorder="1" applyAlignment="1">
      <alignment horizontal="right" vertical="center"/>
    </xf>
    <xf numFmtId="3" fontId="9" fillId="0" borderId="31" xfId="0" applyNumberFormat="1" applyFont="1" applyBorder="1" applyAlignment="1">
      <alignment horizontal="right" vertical="center"/>
    </xf>
    <xf numFmtId="3" fontId="9" fillId="32" borderId="23" xfId="0" applyNumberFormat="1" applyFont="1" applyFill="1" applyBorder="1" applyAlignment="1">
      <alignment horizontal="right" vertical="center"/>
    </xf>
    <xf numFmtId="3" fontId="9" fillId="32" borderId="31" xfId="0" applyNumberFormat="1" applyFont="1" applyFill="1" applyBorder="1" applyAlignment="1">
      <alignment horizontal="right" vertical="center"/>
    </xf>
    <xf numFmtId="3" fontId="5" fillId="32" borderId="10" xfId="0" applyNumberFormat="1" applyFont="1" applyFill="1" applyBorder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left" vertical="center" wrapText="1"/>
    </xf>
    <xf numFmtId="0" fontId="9" fillId="32" borderId="28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vertical="center" wrapText="1"/>
    </xf>
    <xf numFmtId="3" fontId="9" fillId="33" borderId="23" xfId="0" applyNumberFormat="1" applyFont="1" applyFill="1" applyBorder="1" applyAlignment="1">
      <alignment horizontal="right" vertical="center"/>
    </xf>
    <xf numFmtId="3" fontId="9" fillId="33" borderId="31" xfId="0" applyNumberFormat="1" applyFont="1" applyFill="1" applyBorder="1" applyAlignment="1">
      <alignment horizontal="right" vertical="center"/>
    </xf>
    <xf numFmtId="3" fontId="9" fillId="32" borderId="12" xfId="0" applyNumberFormat="1" applyFont="1" applyFill="1" applyBorder="1" applyAlignment="1">
      <alignment horizontal="right" wrapText="1"/>
    </xf>
    <xf numFmtId="3" fontId="9" fillId="33" borderId="12" xfId="0" applyNumberFormat="1" applyFont="1" applyFill="1" applyBorder="1" applyAlignment="1">
      <alignment horizontal="right" wrapText="1"/>
    </xf>
    <xf numFmtId="0" fontId="10" fillId="32" borderId="12" xfId="0" applyFont="1" applyFill="1" applyBorder="1" applyAlignment="1">
      <alignment horizontal="left" vertical="center" wrapText="1"/>
    </xf>
    <xf numFmtId="3" fontId="10" fillId="32" borderId="12" xfId="0" applyNumberFormat="1" applyFont="1" applyFill="1" applyBorder="1" applyAlignment="1">
      <alignment horizontal="right" vertical="center"/>
    </xf>
    <xf numFmtId="3" fontId="9" fillId="32" borderId="32" xfId="0" applyNumberFormat="1" applyFont="1" applyFill="1" applyBorder="1" applyAlignment="1" quotePrefix="1">
      <alignment horizontal="right" vertical="center"/>
    </xf>
    <xf numFmtId="3" fontId="9" fillId="32" borderId="15" xfId="0" applyNumberFormat="1" applyFont="1" applyFill="1" applyBorder="1" applyAlignment="1">
      <alignment horizontal="right" vertical="center" wrapText="1"/>
    </xf>
    <xf numFmtId="3" fontId="9" fillId="32" borderId="12" xfId="0" applyNumberFormat="1" applyFont="1" applyFill="1" applyBorder="1" applyAlignment="1">
      <alignment horizontal="right" vertical="center" wrapText="1"/>
    </xf>
    <xf numFmtId="3" fontId="9" fillId="33" borderId="12" xfId="0" applyNumberFormat="1" applyFont="1" applyFill="1" applyBorder="1" applyAlignment="1">
      <alignment horizontal="right" vertical="center" wrapText="1"/>
    </xf>
    <xf numFmtId="3" fontId="9" fillId="32" borderId="32" xfId="0" applyNumberFormat="1" applyFont="1" applyFill="1" applyBorder="1" applyAlignment="1" quotePrefix="1">
      <alignment horizontal="right" vertical="center"/>
    </xf>
    <xf numFmtId="0" fontId="9" fillId="32" borderId="19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right" vertical="center" wrapText="1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left" vertical="center" wrapText="1"/>
    </xf>
    <xf numFmtId="3" fontId="9" fillId="32" borderId="12" xfId="0" applyNumberFormat="1" applyFont="1" applyFill="1" applyBorder="1" applyAlignment="1">
      <alignment horizontal="right" vertical="center" wrapText="1"/>
    </xf>
    <xf numFmtId="3" fontId="5" fillId="32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 horizontal="center"/>
    </xf>
    <xf numFmtId="0" fontId="10" fillId="32" borderId="11" xfId="0" applyFont="1" applyFill="1" applyBorder="1" applyAlignment="1">
      <alignment horizontal="left" vertical="center"/>
    </xf>
    <xf numFmtId="3" fontId="10" fillId="32" borderId="12" xfId="0" applyNumberFormat="1" applyFont="1" applyFill="1" applyBorder="1" applyAlignment="1">
      <alignment horizontal="right" vertical="center" wrapText="1"/>
    </xf>
    <xf numFmtId="0" fontId="10" fillId="32" borderId="11" xfId="0" applyNumberFormat="1" applyFont="1" applyFill="1" applyBorder="1" applyAlignment="1">
      <alignment horizontal="left" vertical="center"/>
    </xf>
    <xf numFmtId="3" fontId="10" fillId="32" borderId="12" xfId="0" applyNumberFormat="1" applyFont="1" applyFill="1" applyBorder="1" applyAlignment="1">
      <alignment horizontal="left" vertical="center" wrapText="1"/>
    </xf>
    <xf numFmtId="0" fontId="10" fillId="32" borderId="28" xfId="0" applyFont="1" applyFill="1" applyBorder="1" applyAlignment="1">
      <alignment horizontal="left" vertical="center"/>
    </xf>
    <xf numFmtId="3" fontId="10" fillId="32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3" fontId="9" fillId="0" borderId="33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 quotePrefix="1">
      <alignment horizontal="center" vertical="center"/>
    </xf>
    <xf numFmtId="3" fontId="9" fillId="0" borderId="18" xfId="0" applyNumberFormat="1" applyFont="1" applyBorder="1" applyAlignment="1" quotePrefix="1">
      <alignment horizontal="left" vertical="center"/>
    </xf>
    <xf numFmtId="3" fontId="9" fillId="0" borderId="18" xfId="0" applyNumberFormat="1" applyFont="1" applyBorder="1" applyAlignment="1" quotePrefix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9" fillId="0" borderId="19" xfId="0" applyNumberFormat="1" applyFont="1" applyBorder="1" applyAlignment="1" quotePrefix="1">
      <alignment horizontal="center" vertical="center"/>
    </xf>
    <xf numFmtId="3" fontId="9" fillId="0" borderId="15" xfId="0" applyNumberFormat="1" applyFont="1" applyBorder="1" applyAlignment="1" quotePrefix="1">
      <alignment horizontal="left" vertical="center"/>
    </xf>
    <xf numFmtId="3" fontId="9" fillId="0" borderId="15" xfId="0" applyNumberFormat="1" applyFont="1" applyBorder="1" applyAlignment="1" quotePrefix="1">
      <alignment horizontal="right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vertical="center"/>
    </xf>
    <xf numFmtId="3" fontId="62" fillId="0" borderId="10" xfId="0" applyNumberFormat="1" applyFont="1" applyBorder="1" applyAlignment="1" quotePrefix="1">
      <alignment horizontal="left" vertical="center" wrapText="1"/>
    </xf>
    <xf numFmtId="0" fontId="8" fillId="0" borderId="34" xfId="0" applyNumberFormat="1" applyFont="1" applyBorder="1" applyAlignment="1">
      <alignment horizontal="center"/>
    </xf>
    <xf numFmtId="0" fontId="13" fillId="0" borderId="27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3" fontId="62" fillId="0" borderId="10" xfId="0" applyNumberFormat="1" applyFont="1" applyBorder="1" applyAlignment="1" quotePrefix="1">
      <alignment horizontal="left" vertical="center" wrapText="1"/>
    </xf>
    <xf numFmtId="3" fontId="63" fillId="0" borderId="0" xfId="0" applyNumberFormat="1" applyFont="1" applyBorder="1" applyAlignment="1" quotePrefix="1">
      <alignment horizontal="center" vertical="center"/>
    </xf>
    <xf numFmtId="3" fontId="10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10" fillId="0" borderId="18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 quotePrefix="1">
      <alignment horizontal="left" vertical="center"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 quotePrefix="1">
      <alignment horizontal="center" vertical="center"/>
    </xf>
    <xf numFmtId="3" fontId="9" fillId="0" borderId="0" xfId="0" applyNumberFormat="1" applyFont="1" applyFill="1" applyBorder="1" applyAlignment="1" quotePrefix="1">
      <alignment horizontal="right" vertical="center"/>
    </xf>
    <xf numFmtId="3" fontId="9" fillId="0" borderId="0" xfId="0" applyNumberFormat="1" applyFont="1" applyFill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Fill="1" applyAlignment="1">
      <alignment/>
    </xf>
    <xf numFmtId="3" fontId="64" fillId="0" borderId="0" xfId="0" applyNumberFormat="1" applyFont="1" applyBorder="1" applyAlignment="1" quotePrefix="1">
      <alignment horizontal="center" vertical="center"/>
    </xf>
    <xf numFmtId="3" fontId="64" fillId="0" borderId="0" xfId="0" applyNumberFormat="1" applyFont="1" applyBorder="1" applyAlignment="1" quotePrefix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 quotePrefix="1">
      <alignment horizontal="center"/>
    </xf>
    <xf numFmtId="0" fontId="13" fillId="0" borderId="10" xfId="51" applyNumberFormat="1" applyFont="1" applyBorder="1" applyAlignment="1">
      <alignment horizontal="center" vertical="center" wrapText="1"/>
      <protection/>
    </xf>
    <xf numFmtId="3" fontId="13" fillId="0" borderId="10" xfId="51" applyNumberFormat="1" applyFont="1" applyBorder="1" applyAlignment="1" quotePrefix="1">
      <alignment horizontal="center" vertical="center" wrapText="1"/>
      <protection/>
    </xf>
    <xf numFmtId="3" fontId="9" fillId="0" borderId="1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horizontal="right" vertical="center"/>
    </xf>
    <xf numFmtId="3" fontId="9" fillId="0" borderId="37" xfId="0" applyNumberFormat="1" applyFont="1" applyBorder="1" applyAlignment="1">
      <alignment horizontal="right" vertical="center"/>
    </xf>
    <xf numFmtId="0" fontId="9" fillId="0" borderId="24" xfId="0" applyNumberFormat="1" applyFont="1" applyBorder="1" applyAlignment="1" quotePrefix="1">
      <alignment horizontal="center" vertical="center" wrapText="1"/>
    </xf>
    <xf numFmtId="49" fontId="9" fillId="0" borderId="14" xfId="0" applyNumberFormat="1" applyFont="1" applyBorder="1" applyAlignment="1">
      <alignment vertical="center"/>
    </xf>
    <xf numFmtId="3" fontId="62" fillId="0" borderId="10" xfId="0" applyNumberFormat="1" applyFont="1" applyBorder="1" applyAlignment="1" quotePrefix="1">
      <alignment horizontal="left" vertical="center" wrapText="1"/>
    </xf>
    <xf numFmtId="3" fontId="9" fillId="0" borderId="28" xfId="0" applyNumberFormat="1" applyFont="1" applyBorder="1" applyAlignment="1" quotePrefix="1">
      <alignment horizontal="center" vertical="center"/>
    </xf>
    <xf numFmtId="3" fontId="9" fillId="32" borderId="0" xfId="0" applyNumberFormat="1" applyFont="1" applyFill="1" applyBorder="1" applyAlignment="1" quotePrefix="1">
      <alignment horizontal="center" vertical="center"/>
    </xf>
    <xf numFmtId="3" fontId="9" fillId="32" borderId="0" xfId="0" applyNumberFormat="1" applyFont="1" applyFill="1" applyBorder="1" applyAlignment="1" quotePrefix="1">
      <alignment horizontal="right" vertical="center"/>
    </xf>
    <xf numFmtId="3" fontId="9" fillId="32" borderId="0" xfId="0" applyNumberFormat="1" applyFont="1" applyFill="1" applyBorder="1" applyAlignment="1">
      <alignment horizontal="right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3" fontId="5" fillId="32" borderId="10" xfId="0" applyNumberFormat="1" applyFont="1" applyFill="1" applyBorder="1" applyAlignment="1">
      <alignment horizontal="right" vertical="center"/>
    </xf>
    <xf numFmtId="3" fontId="5" fillId="32" borderId="10" xfId="0" applyNumberFormat="1" applyFont="1" applyFill="1" applyBorder="1" applyAlignment="1" quotePrefix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65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7" fillId="0" borderId="27" xfId="0" applyNumberFormat="1" applyFont="1" applyBorder="1" applyAlignment="1" quotePrefix="1">
      <alignment horizontal="center" vertical="center" wrapText="1"/>
    </xf>
    <xf numFmtId="0" fontId="7" fillId="0" borderId="38" xfId="0" applyNumberFormat="1" applyFont="1" applyBorder="1" applyAlignment="1" quotePrefix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3" fontId="7" fillId="0" borderId="27" xfId="0" applyNumberFormat="1" applyFont="1" applyBorder="1" applyAlignment="1" quotePrefix="1">
      <alignment horizontal="center" vertical="center" wrapText="1"/>
    </xf>
    <xf numFmtId="3" fontId="7" fillId="0" borderId="38" xfId="0" applyNumberFormat="1" applyFont="1" applyBorder="1" applyAlignment="1" quotePrefix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0" fontId="13" fillId="0" borderId="10" xfId="0" applyNumberFormat="1" applyFont="1" applyBorder="1" applyAlignment="1" quotePrefix="1">
      <alignment horizontal="center" vertical="center" wrapText="1"/>
    </xf>
    <xf numFmtId="3" fontId="5" fillId="0" borderId="39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13" fillId="0" borderId="27" xfId="0" applyNumberFormat="1" applyFont="1" applyBorder="1" applyAlignment="1" quotePrefix="1">
      <alignment horizontal="center" vertical="center" wrapText="1"/>
    </xf>
    <xf numFmtId="49" fontId="9" fillId="32" borderId="39" xfId="0" applyNumberFormat="1" applyFont="1" applyFill="1" applyBorder="1" applyAlignment="1" quotePrefix="1">
      <alignment horizontal="center" vertical="center" wrapText="1"/>
    </xf>
    <xf numFmtId="49" fontId="9" fillId="32" borderId="32" xfId="0" applyNumberFormat="1" applyFont="1" applyFill="1" applyBorder="1" applyAlignment="1" quotePrefix="1">
      <alignment horizontal="center" vertical="center" wrapText="1"/>
    </xf>
    <xf numFmtId="49" fontId="9" fillId="32" borderId="39" xfId="0" applyNumberFormat="1" applyFont="1" applyFill="1" applyBorder="1" applyAlignment="1" quotePrefix="1">
      <alignment horizontal="left" vertical="center"/>
    </xf>
    <xf numFmtId="49" fontId="9" fillId="32" borderId="32" xfId="0" applyNumberFormat="1" applyFont="1" applyFill="1" applyBorder="1" applyAlignment="1" quotePrefix="1">
      <alignment horizontal="left" vertical="center"/>
    </xf>
    <xf numFmtId="3" fontId="7" fillId="0" borderId="0" xfId="0" applyNumberFormat="1" applyFont="1" applyFill="1" applyBorder="1" applyAlignment="1" quotePrefix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9" fillId="0" borderId="39" xfId="0" applyNumberFormat="1" applyFont="1" applyBorder="1" applyAlignment="1">
      <alignment horizontal="center"/>
    </xf>
    <xf numFmtId="3" fontId="9" fillId="0" borderId="32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 vertical="center" wrapText="1"/>
    </xf>
    <xf numFmtId="3" fontId="7" fillId="0" borderId="41" xfId="0" applyNumberFormat="1" applyFont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right" vertical="center"/>
    </xf>
    <xf numFmtId="49" fontId="9" fillId="0" borderId="44" xfId="0" applyNumberFormat="1" applyFont="1" applyBorder="1" applyAlignment="1">
      <alignment horizontal="right" vertical="center"/>
    </xf>
    <xf numFmtId="49" fontId="9" fillId="32" borderId="10" xfId="0" applyNumberFormat="1" applyFont="1" applyFill="1" applyBorder="1" applyAlignment="1" quotePrefix="1">
      <alignment horizontal="left" vertical="center"/>
    </xf>
    <xf numFmtId="3" fontId="5" fillId="32" borderId="10" xfId="0" applyNumberFormat="1" applyFont="1" applyFill="1" applyBorder="1" applyAlignment="1" quotePrefix="1">
      <alignment horizontal="center" vertical="center"/>
    </xf>
    <xf numFmtId="49" fontId="9" fillId="32" borderId="39" xfId="0" applyNumberFormat="1" applyFont="1" applyFill="1" applyBorder="1" applyAlignment="1" quotePrefix="1">
      <alignment horizontal="left" vertical="center" wrapText="1"/>
    </xf>
    <xf numFmtId="49" fontId="9" fillId="32" borderId="32" xfId="0" applyNumberFormat="1" applyFont="1" applyFill="1" applyBorder="1" applyAlignment="1" quotePrefix="1">
      <alignment horizontal="left" vertical="center" wrapText="1"/>
    </xf>
    <xf numFmtId="0" fontId="13" fillId="0" borderId="39" xfId="0" applyNumberFormat="1" applyFont="1" applyBorder="1" applyAlignment="1" quotePrefix="1">
      <alignment horizontal="center" vertical="center" wrapText="1"/>
    </xf>
    <xf numFmtId="0" fontId="13" fillId="0" borderId="32" xfId="0" applyNumberFormat="1" applyFont="1" applyBorder="1" applyAlignment="1" quotePrefix="1">
      <alignment horizontal="center" vertical="center" wrapText="1"/>
    </xf>
    <xf numFmtId="3" fontId="6" fillId="34" borderId="0" xfId="0" applyNumberFormat="1" applyFont="1" applyFill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3" fontId="9" fillId="32" borderId="39" xfId="0" applyNumberFormat="1" applyFont="1" applyFill="1" applyBorder="1" applyAlignment="1" quotePrefix="1">
      <alignment horizontal="center" vertical="center"/>
    </xf>
    <xf numFmtId="3" fontId="9" fillId="32" borderId="32" xfId="0" applyNumberFormat="1" applyFont="1" applyFill="1" applyBorder="1" applyAlignment="1" quotePrefix="1">
      <alignment horizontal="center" vertical="center"/>
    </xf>
    <xf numFmtId="3" fontId="6" fillId="35" borderId="0" xfId="0" applyNumberFormat="1" applyFont="1" applyFill="1" applyAlignment="1">
      <alignment horizontal="center"/>
    </xf>
    <xf numFmtId="3" fontId="63" fillId="0" borderId="0" xfId="0" applyNumberFormat="1" applyFont="1" applyAlignment="1">
      <alignment horizontal="center" vertical="center"/>
    </xf>
    <xf numFmtId="3" fontId="62" fillId="0" borderId="10" xfId="0" applyNumberFormat="1" applyFont="1" applyBorder="1" applyAlignment="1" quotePrefix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5" fillId="32" borderId="39" xfId="0" applyNumberFormat="1" applyFont="1" applyFill="1" applyBorder="1" applyAlignment="1" quotePrefix="1">
      <alignment horizontal="center"/>
    </xf>
    <xf numFmtId="3" fontId="5" fillId="32" borderId="32" xfId="0" applyNumberFormat="1" applyFont="1" applyFill="1" applyBorder="1" applyAlignment="1" quotePrefix="1">
      <alignment horizontal="center"/>
    </xf>
    <xf numFmtId="3" fontId="62" fillId="0" borderId="39" xfId="0" applyNumberFormat="1" applyFont="1" applyBorder="1" applyAlignment="1" quotePrefix="1">
      <alignment horizontal="left" vertical="center" wrapText="1"/>
    </xf>
    <xf numFmtId="3" fontId="62" fillId="0" borderId="32" xfId="0" applyNumberFormat="1" applyFont="1" applyBorder="1" applyAlignment="1" quotePrefix="1">
      <alignment horizontal="left" vertical="center" wrapText="1"/>
    </xf>
    <xf numFmtId="3" fontId="7" fillId="0" borderId="27" xfId="51" applyNumberFormat="1" applyFont="1" applyBorder="1" applyAlignment="1" quotePrefix="1">
      <alignment horizontal="center" vertical="center" wrapText="1"/>
      <protection/>
    </xf>
    <xf numFmtId="3" fontId="7" fillId="0" borderId="38" xfId="51" applyNumberFormat="1" applyFont="1" applyBorder="1" applyAlignment="1" quotePrefix="1">
      <alignment horizontal="center" vertical="center" wrapText="1"/>
      <protection/>
    </xf>
    <xf numFmtId="3" fontId="62" fillId="0" borderId="10" xfId="0" applyNumberFormat="1" applyFont="1" applyBorder="1" applyAlignment="1" quotePrefix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13" fillId="0" borderId="39" xfId="51" applyNumberFormat="1" applyFont="1" applyBorder="1" applyAlignment="1" quotePrefix="1">
      <alignment horizontal="center" vertical="center" wrapText="1"/>
      <protection/>
    </xf>
    <xf numFmtId="0" fontId="13" fillId="0" borderId="32" xfId="51" applyNumberFormat="1" applyFont="1" applyBorder="1" applyAlignment="1" quotePrefix="1">
      <alignment horizontal="center" vertical="center" wrapText="1"/>
      <protection/>
    </xf>
    <xf numFmtId="3" fontId="63" fillId="0" borderId="0" xfId="0" applyNumberFormat="1" applyFont="1" applyAlignment="1">
      <alignment horizontal="center"/>
    </xf>
    <xf numFmtId="0" fontId="7" fillId="0" borderId="27" xfId="51" applyNumberFormat="1" applyFont="1" applyBorder="1" applyAlignment="1" quotePrefix="1">
      <alignment horizontal="center" vertical="center" wrapText="1"/>
      <protection/>
    </xf>
    <xf numFmtId="0" fontId="7" fillId="0" borderId="38" xfId="51" applyNumberFormat="1" applyFont="1" applyBorder="1" applyAlignment="1" quotePrefix="1">
      <alignment horizontal="center" vertical="center" wrapText="1"/>
      <protection/>
    </xf>
    <xf numFmtId="0" fontId="7" fillId="0" borderId="27" xfId="51" applyNumberFormat="1" applyFont="1" applyBorder="1" applyAlignment="1">
      <alignment horizontal="center" vertical="center" wrapText="1"/>
      <protection/>
    </xf>
    <xf numFmtId="0" fontId="7" fillId="0" borderId="38" xfId="51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Lis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zoomScale="85" zoomScaleNormal="85" zoomScalePageLayoutView="0" workbookViewId="0" topLeftCell="A64">
      <selection activeCell="B10" sqref="B10"/>
    </sheetView>
  </sheetViews>
  <sheetFormatPr defaultColWidth="9.140625" defaultRowHeight="12.75"/>
  <cols>
    <col min="1" max="1" width="11.57421875" style="3" customWidth="1"/>
    <col min="2" max="2" width="46.28125" style="3" customWidth="1"/>
    <col min="3" max="3" width="17.7109375" style="3" customWidth="1"/>
    <col min="4" max="7" width="17.7109375" style="12" customWidth="1"/>
    <col min="8" max="8" width="15.140625" style="3" customWidth="1"/>
    <col min="9" max="9" width="13.8515625" style="3" customWidth="1"/>
    <col min="10" max="15" width="15.140625" style="3" customWidth="1"/>
    <col min="16" max="16" width="16.7109375" style="3" hidden="1" customWidth="1"/>
    <col min="17" max="17" width="16.421875" style="3" hidden="1" customWidth="1"/>
    <col min="18" max="18" width="12.57421875" style="3" hidden="1" customWidth="1"/>
    <col min="19" max="19" width="15.140625" style="3" customWidth="1"/>
    <col min="20" max="16384" width="9.140625" style="3" customWidth="1"/>
  </cols>
  <sheetData>
    <row r="1" spans="1:10" ht="20.25">
      <c r="A1" s="257" t="s">
        <v>91</v>
      </c>
      <c r="B1" s="257"/>
      <c r="C1" s="257"/>
      <c r="D1" s="257"/>
      <c r="E1" s="257"/>
      <c r="F1" s="257"/>
      <c r="G1" s="257"/>
      <c r="H1" s="2"/>
      <c r="I1" s="2"/>
      <c r="J1" s="2"/>
    </row>
    <row r="2" spans="1:10" ht="20.25">
      <c r="A2" s="269" t="s">
        <v>90</v>
      </c>
      <c r="B2" s="269"/>
      <c r="C2" s="269"/>
      <c r="D2" s="269"/>
      <c r="E2" s="269"/>
      <c r="F2" s="269"/>
      <c r="G2" s="269"/>
      <c r="H2" s="269"/>
      <c r="I2" s="2"/>
      <c r="J2" s="2"/>
    </row>
    <row r="4" spans="1:7" ht="20.25">
      <c r="A4" s="258" t="s">
        <v>25</v>
      </c>
      <c r="B4" s="258"/>
      <c r="C4" s="258"/>
      <c r="D4" s="258"/>
      <c r="E4" s="258"/>
      <c r="F4" s="258"/>
      <c r="G4" s="258"/>
    </row>
    <row r="5" spans="1:7" s="5" customFormat="1" ht="15">
      <c r="A5" s="4"/>
      <c r="D5" s="6"/>
      <c r="E5" s="6"/>
      <c r="F5" s="6"/>
      <c r="G5" s="6"/>
    </row>
    <row r="6" spans="1:8" ht="15.75" customHeight="1">
      <c r="A6" s="259" t="s">
        <v>26</v>
      </c>
      <c r="B6" s="261" t="s">
        <v>0</v>
      </c>
      <c r="C6" s="261" t="s">
        <v>117</v>
      </c>
      <c r="D6" s="263" t="s">
        <v>134</v>
      </c>
      <c r="E6" s="263" t="s">
        <v>135</v>
      </c>
      <c r="F6" s="263" t="s">
        <v>136</v>
      </c>
      <c r="G6" s="263" t="s">
        <v>50</v>
      </c>
      <c r="H6" s="263" t="s">
        <v>50</v>
      </c>
    </row>
    <row r="7" spans="1:8" ht="31.5" customHeight="1">
      <c r="A7" s="260"/>
      <c r="B7" s="262"/>
      <c r="C7" s="262"/>
      <c r="D7" s="264"/>
      <c r="E7" s="264"/>
      <c r="F7" s="264"/>
      <c r="G7" s="264"/>
      <c r="H7" s="264"/>
    </row>
    <row r="8" spans="1:8" s="64" customFormat="1" ht="12">
      <c r="A8" s="266">
        <v>1</v>
      </c>
      <c r="B8" s="266"/>
      <c r="C8" s="62">
        <v>2</v>
      </c>
      <c r="D8" s="63">
        <v>3</v>
      </c>
      <c r="E8" s="63">
        <v>4</v>
      </c>
      <c r="F8" s="63">
        <v>5</v>
      </c>
      <c r="G8" s="63" t="s">
        <v>51</v>
      </c>
      <c r="H8" s="63" t="s">
        <v>52</v>
      </c>
    </row>
    <row r="9" spans="1:8" ht="30">
      <c r="A9" s="142">
        <v>67</v>
      </c>
      <c r="B9" s="143" t="s">
        <v>29</v>
      </c>
      <c r="C9" s="123">
        <f>SUM(C10:C11)</f>
        <v>841360</v>
      </c>
      <c r="D9" s="123">
        <f>SUM(D10:D11)</f>
        <v>925620</v>
      </c>
      <c r="E9" s="123">
        <f>SUM(E10:E11)</f>
        <v>1181901</v>
      </c>
      <c r="F9" s="123">
        <f>SUM(F10:F11)</f>
        <v>1171367.2</v>
      </c>
      <c r="G9" s="123">
        <f>F9/C9*100</f>
        <v>139.22306741466198</v>
      </c>
      <c r="H9" s="149">
        <f>F9/E9*100</f>
        <v>99.10874091823257</v>
      </c>
    </row>
    <row r="10" spans="1:8" ht="30">
      <c r="A10" s="117">
        <v>6711</v>
      </c>
      <c r="B10" s="19" t="s">
        <v>30</v>
      </c>
      <c r="C10" s="70">
        <v>827047</v>
      </c>
      <c r="D10" s="70">
        <v>925620</v>
      </c>
      <c r="E10" s="70">
        <v>1181901</v>
      </c>
      <c r="F10" s="20">
        <v>1077049.53</v>
      </c>
      <c r="G10" s="51">
        <f aca="true" t="shared" si="0" ref="G10:G23">F10/C10*100</f>
        <v>130.22833406082123</v>
      </c>
      <c r="H10" s="54">
        <f aca="true" t="shared" si="1" ref="H10:H23">F10/E10*100</f>
        <v>91.12857422068346</v>
      </c>
    </row>
    <row r="11" spans="1:10" ht="30">
      <c r="A11" s="117">
        <v>6712</v>
      </c>
      <c r="B11" s="19" t="s">
        <v>31</v>
      </c>
      <c r="C11" s="70">
        <v>14313</v>
      </c>
      <c r="D11" s="20"/>
      <c r="E11" s="20"/>
      <c r="F11" s="20">
        <v>94317.67</v>
      </c>
      <c r="G11" s="51">
        <f t="shared" si="0"/>
        <v>658.9650667225599</v>
      </c>
      <c r="H11" s="54">
        <v>0</v>
      </c>
      <c r="I11" s="1"/>
      <c r="J11" s="7"/>
    </row>
    <row r="12" spans="1:8" ht="30">
      <c r="A12" s="144">
        <v>66</v>
      </c>
      <c r="B12" s="145" t="s">
        <v>33</v>
      </c>
      <c r="C12" s="124">
        <f>SUM(C13:C14)</f>
        <v>18852</v>
      </c>
      <c r="D12" s="124">
        <f>SUM(D13:D14)</f>
        <v>42000</v>
      </c>
      <c r="E12" s="124">
        <f>SUM(E13:E14)</f>
        <v>42000</v>
      </c>
      <c r="F12" s="124">
        <f>SUM(F13:F14)</f>
        <v>3000</v>
      </c>
      <c r="G12" s="123">
        <f t="shared" si="0"/>
        <v>15.913430935709737</v>
      </c>
      <c r="H12" s="149">
        <f t="shared" si="1"/>
        <v>7.142857142857142</v>
      </c>
    </row>
    <row r="13" spans="1:8" ht="30">
      <c r="A13" s="117">
        <v>66151</v>
      </c>
      <c r="B13" s="19" t="s">
        <v>32</v>
      </c>
      <c r="C13" s="70">
        <v>18852</v>
      </c>
      <c r="D13" s="20">
        <v>42000</v>
      </c>
      <c r="E13" s="20">
        <v>42000</v>
      </c>
      <c r="F13" s="20">
        <v>3000</v>
      </c>
      <c r="G13" s="51">
        <f t="shared" si="0"/>
        <v>15.913430935709737</v>
      </c>
      <c r="H13" s="54">
        <f t="shared" si="1"/>
        <v>7.142857142857142</v>
      </c>
    </row>
    <row r="14" spans="1:8" ht="15">
      <c r="A14" s="117">
        <v>663</v>
      </c>
      <c r="B14" s="19" t="s">
        <v>93</v>
      </c>
      <c r="C14" s="70">
        <v>0</v>
      </c>
      <c r="D14" s="20">
        <v>0</v>
      </c>
      <c r="E14" s="20">
        <v>0</v>
      </c>
      <c r="F14" s="20"/>
      <c r="G14" s="51" t="e">
        <f t="shared" si="0"/>
        <v>#DIV/0!</v>
      </c>
      <c r="H14" s="54" t="e">
        <f t="shared" si="1"/>
        <v>#DIV/0!</v>
      </c>
    </row>
    <row r="15" spans="1:17" s="13" customFormat="1" ht="15">
      <c r="A15" s="130">
        <v>652</v>
      </c>
      <c r="B15" s="131" t="s">
        <v>34</v>
      </c>
      <c r="C15" s="128">
        <f>SUM(C16:C16)</f>
        <v>50078</v>
      </c>
      <c r="D15" s="128">
        <f>SUM(D16:D16)</f>
        <v>130000</v>
      </c>
      <c r="E15" s="128">
        <f>SUM(E16:E16)</f>
        <v>130000</v>
      </c>
      <c r="F15" s="128">
        <f>SUM(F16:F16)</f>
        <v>91774.71</v>
      </c>
      <c r="G15" s="127">
        <f t="shared" si="0"/>
        <v>183.26352889492392</v>
      </c>
      <c r="H15" s="150">
        <f t="shared" si="1"/>
        <v>70.59593076923078</v>
      </c>
      <c r="I15" s="77"/>
      <c r="J15" s="77"/>
      <c r="K15" s="77"/>
      <c r="L15" s="77"/>
      <c r="M15" s="59"/>
      <c r="N15" s="60"/>
      <c r="O15" s="60"/>
      <c r="P15" s="14"/>
      <c r="Q15" s="14"/>
    </row>
    <row r="16" spans="1:17" s="17" customFormat="1" ht="30">
      <c r="A16" s="117">
        <v>65269</v>
      </c>
      <c r="B16" s="19" t="s">
        <v>92</v>
      </c>
      <c r="C16" s="70">
        <v>50078</v>
      </c>
      <c r="D16" s="20">
        <v>130000</v>
      </c>
      <c r="E16" s="20">
        <v>130000</v>
      </c>
      <c r="F16" s="20">
        <v>91774.71</v>
      </c>
      <c r="G16" s="51">
        <f t="shared" si="0"/>
        <v>183.26352889492392</v>
      </c>
      <c r="H16" s="54">
        <f t="shared" si="1"/>
        <v>70.59593076923078</v>
      </c>
      <c r="I16" s="10"/>
      <c r="J16" s="10"/>
      <c r="K16" s="10"/>
      <c r="L16" s="10"/>
      <c r="M16" s="15"/>
      <c r="N16" s="15"/>
      <c r="O16" s="10"/>
      <c r="P16" s="16"/>
      <c r="Q16" s="16"/>
    </row>
    <row r="17" spans="1:17" s="17" customFormat="1" ht="15">
      <c r="A17" s="190">
        <v>64</v>
      </c>
      <c r="B17" s="176" t="s">
        <v>120</v>
      </c>
      <c r="C17" s="191">
        <f>SUM(C18)</f>
        <v>14</v>
      </c>
      <c r="D17" s="177">
        <f>SUM(D18)</f>
        <v>5</v>
      </c>
      <c r="E17" s="177">
        <f>SUM(E18)</f>
        <v>5</v>
      </c>
      <c r="F17" s="177">
        <f>SUM(F18)</f>
        <v>9.79</v>
      </c>
      <c r="G17" s="123">
        <f t="shared" si="0"/>
        <v>69.92857142857142</v>
      </c>
      <c r="H17" s="149">
        <f t="shared" si="1"/>
        <v>195.79999999999998</v>
      </c>
      <c r="I17" s="10"/>
      <c r="J17" s="10"/>
      <c r="K17" s="10"/>
      <c r="L17" s="10"/>
      <c r="M17" s="15"/>
      <c r="N17" s="15"/>
      <c r="O17" s="10"/>
      <c r="P17" s="16"/>
      <c r="Q17" s="16"/>
    </row>
    <row r="18" spans="1:17" s="17" customFormat="1" ht="30">
      <c r="A18" s="117">
        <v>6413</v>
      </c>
      <c r="B18" s="19" t="s">
        <v>121</v>
      </c>
      <c r="C18" s="70">
        <v>14</v>
      </c>
      <c r="D18" s="20">
        <v>5</v>
      </c>
      <c r="E18" s="20">
        <v>5</v>
      </c>
      <c r="F18" s="20">
        <v>9.79</v>
      </c>
      <c r="G18" s="51">
        <f t="shared" si="0"/>
        <v>69.92857142857142</v>
      </c>
      <c r="H18" s="54">
        <f t="shared" si="1"/>
        <v>195.79999999999998</v>
      </c>
      <c r="I18" s="10"/>
      <c r="J18" s="10"/>
      <c r="K18" s="10"/>
      <c r="L18" s="10"/>
      <c r="M18" s="15"/>
      <c r="N18" s="15"/>
      <c r="O18" s="10"/>
      <c r="P18" s="16"/>
      <c r="Q18" s="16"/>
    </row>
    <row r="19" spans="1:8" ht="30">
      <c r="A19" s="144">
        <v>63</v>
      </c>
      <c r="B19" s="145" t="s">
        <v>28</v>
      </c>
      <c r="C19" s="124">
        <f>SUM(C20:C22)</f>
        <v>6575296</v>
      </c>
      <c r="D19" s="124">
        <f>SUM(D20:D22)</f>
        <v>6578360</v>
      </c>
      <c r="E19" s="124">
        <f>SUM(E20:E22)</f>
        <v>6663560</v>
      </c>
      <c r="F19" s="124">
        <f>SUM(F20:F22)</f>
        <v>6863651.74</v>
      </c>
      <c r="G19" s="123">
        <f t="shared" si="0"/>
        <v>104.38544120295117</v>
      </c>
      <c r="H19" s="149">
        <f t="shared" si="1"/>
        <v>103.0027753933333</v>
      </c>
    </row>
    <row r="20" spans="1:8" ht="15.75" customHeight="1">
      <c r="A20" s="118">
        <v>634</v>
      </c>
      <c r="B20" s="52" t="s">
        <v>27</v>
      </c>
      <c r="C20" s="215">
        <v>3700</v>
      </c>
      <c r="D20" s="53">
        <v>2000</v>
      </c>
      <c r="E20" s="72">
        <v>2000</v>
      </c>
      <c r="F20" s="53">
        <v>2000</v>
      </c>
      <c r="G20" s="51">
        <v>0</v>
      </c>
      <c r="H20" s="54">
        <f>F20/E20*100</f>
        <v>100</v>
      </c>
    </row>
    <row r="21" spans="1:8" ht="30">
      <c r="A21" s="118">
        <v>636</v>
      </c>
      <c r="B21" s="52" t="s">
        <v>37</v>
      </c>
      <c r="C21" s="71">
        <v>6405546</v>
      </c>
      <c r="D21" s="53">
        <v>6410000</v>
      </c>
      <c r="E21" s="53">
        <v>6495200</v>
      </c>
      <c r="F21" s="53">
        <v>6861651.74</v>
      </c>
      <c r="G21" s="51">
        <f t="shared" si="0"/>
        <v>107.12048184495124</v>
      </c>
      <c r="H21" s="54">
        <f t="shared" si="1"/>
        <v>105.6418853922897</v>
      </c>
    </row>
    <row r="22" spans="1:8" ht="30">
      <c r="A22" s="119">
        <v>638</v>
      </c>
      <c r="B22" s="61" t="s">
        <v>94</v>
      </c>
      <c r="C22" s="120">
        <v>166050</v>
      </c>
      <c r="D22" s="21">
        <f>165000+1360</f>
        <v>166360</v>
      </c>
      <c r="E22" s="21">
        <f>165000+1360</f>
        <v>166360</v>
      </c>
      <c r="F22" s="21">
        <v>0</v>
      </c>
      <c r="G22" s="51">
        <f t="shared" si="0"/>
        <v>0</v>
      </c>
      <c r="H22" s="54">
        <v>0</v>
      </c>
    </row>
    <row r="23" spans="1:8" s="40" customFormat="1" ht="19.5">
      <c r="A23" s="265" t="s">
        <v>87</v>
      </c>
      <c r="B23" s="265"/>
      <c r="C23" s="87">
        <f>SUM(C9,C12,C15,C19,C17,)</f>
        <v>7485600</v>
      </c>
      <c r="D23" s="87">
        <f>SUM(D9,D12,D15,D19,D17,)</f>
        <v>7675985</v>
      </c>
      <c r="E23" s="87">
        <f>SUM(E9,E12,E15,E19,E17,)</f>
        <v>8017466</v>
      </c>
      <c r="F23" s="87">
        <f>SUM(F9,F12,F15,F19,F17,)</f>
        <v>8129803.44</v>
      </c>
      <c r="G23" s="8">
        <f t="shared" si="0"/>
        <v>108.60590253286311</v>
      </c>
      <c r="H23" s="8">
        <f t="shared" si="1"/>
        <v>101.40115891978839</v>
      </c>
    </row>
    <row r="24" spans="1:8" ht="15">
      <c r="A24" s="194">
        <v>92</v>
      </c>
      <c r="B24" s="167" t="s">
        <v>127</v>
      </c>
      <c r="C24" s="195">
        <f>SUM(C26)*-1</f>
        <v>-36141</v>
      </c>
      <c r="D24" s="195">
        <f>SUM(D25)</f>
        <v>47000</v>
      </c>
      <c r="E24" s="195">
        <f>SUM(E25)</f>
        <v>47000</v>
      </c>
      <c r="F24" s="195">
        <f>SUM(F25)</f>
        <v>0</v>
      </c>
      <c r="G24" s="123">
        <f>F24/C24*100</f>
        <v>0</v>
      </c>
      <c r="H24" s="149">
        <f>F24/E24*100</f>
        <v>0</v>
      </c>
    </row>
    <row r="25" spans="1:8" ht="15">
      <c r="A25" s="119">
        <v>9221</v>
      </c>
      <c r="B25" s="61" t="s">
        <v>126</v>
      </c>
      <c r="C25" s="120">
        <v>0</v>
      </c>
      <c r="D25" s="21">
        <f>29000+18000</f>
        <v>47000</v>
      </c>
      <c r="E25" s="21">
        <f>29000+18000</f>
        <v>47000</v>
      </c>
      <c r="F25" s="21">
        <v>0</v>
      </c>
      <c r="G25" s="51">
        <v>0</v>
      </c>
      <c r="H25" s="54">
        <f>F25/E25*100</f>
        <v>0</v>
      </c>
    </row>
    <row r="26" spans="1:8" ht="15">
      <c r="A26" s="119">
        <v>9222</v>
      </c>
      <c r="B26" s="61" t="s">
        <v>141</v>
      </c>
      <c r="C26" s="120">
        <v>36141</v>
      </c>
      <c r="D26" s="21">
        <v>0</v>
      </c>
      <c r="E26" s="21">
        <v>0</v>
      </c>
      <c r="F26" s="21">
        <v>0</v>
      </c>
      <c r="G26" s="10">
        <v>0</v>
      </c>
      <c r="H26" s="197">
        <v>0</v>
      </c>
    </row>
    <row r="27" spans="1:8" s="40" customFormat="1" ht="19.5">
      <c r="A27" s="265" t="s">
        <v>142</v>
      </c>
      <c r="B27" s="265"/>
      <c r="C27" s="87">
        <f>SUM(C9,C12,C15,C19,C17,C24)</f>
        <v>7449459</v>
      </c>
      <c r="D27" s="87">
        <f>SUM(D9,D12,D15,D19,D17,D24)</f>
        <v>7722985</v>
      </c>
      <c r="E27" s="87">
        <f>SUM(E9,E12,E15,E19,E17,E24)</f>
        <v>8064466</v>
      </c>
      <c r="F27" s="87">
        <f>SUM(F9,F12,F15,F19,F17,F24)</f>
        <v>8129803.44</v>
      </c>
      <c r="G27" s="8">
        <f>F27/C27*100</f>
        <v>109.13280333511469</v>
      </c>
      <c r="H27" s="8">
        <f>F27/E27*100</f>
        <v>100.81018929213666</v>
      </c>
    </row>
    <row r="28" spans="1:8" ht="15">
      <c r="A28" s="196"/>
      <c r="B28" s="61"/>
      <c r="C28" s="120"/>
      <c r="D28" s="21"/>
      <c r="E28" s="21"/>
      <c r="F28" s="21"/>
      <c r="G28" s="10"/>
      <c r="H28" s="10"/>
    </row>
    <row r="29" spans="1:8" ht="15">
      <c r="A29" s="196"/>
      <c r="B29" s="61"/>
      <c r="C29" s="120"/>
      <c r="D29" s="21"/>
      <c r="E29" s="21"/>
      <c r="F29" s="21"/>
      <c r="G29" s="10"/>
      <c r="H29" s="10"/>
    </row>
    <row r="30" ht="14.25" customHeight="1"/>
    <row r="31" spans="1:8" s="92" customFormat="1" ht="28.5" customHeight="1">
      <c r="A31" s="258" t="s">
        <v>24</v>
      </c>
      <c r="B31" s="258"/>
      <c r="C31" s="258"/>
      <c r="D31" s="258"/>
      <c r="E31" s="258"/>
      <c r="F31" s="258"/>
      <c r="G31" s="258"/>
      <c r="H31" s="89"/>
    </row>
    <row r="32" spans="1:8" s="92" customFormat="1" ht="15" customHeight="1">
      <c r="A32" s="259" t="s">
        <v>53</v>
      </c>
      <c r="B32" s="261" t="s">
        <v>0</v>
      </c>
      <c r="C32" s="261" t="s">
        <v>117</v>
      </c>
      <c r="D32" s="263" t="s">
        <v>134</v>
      </c>
      <c r="E32" s="263" t="s">
        <v>137</v>
      </c>
      <c r="F32" s="263" t="s">
        <v>136</v>
      </c>
      <c r="G32" s="263" t="s">
        <v>50</v>
      </c>
      <c r="H32" s="263" t="s">
        <v>50</v>
      </c>
    </row>
    <row r="33" spans="1:8" s="92" customFormat="1" ht="33.75" customHeight="1">
      <c r="A33" s="260"/>
      <c r="B33" s="262"/>
      <c r="C33" s="262"/>
      <c r="D33" s="264"/>
      <c r="E33" s="264"/>
      <c r="F33" s="264"/>
      <c r="G33" s="264"/>
      <c r="H33" s="264"/>
    </row>
    <row r="34" spans="1:8" s="92" customFormat="1" ht="15" customHeight="1">
      <c r="A34" s="270">
        <v>1</v>
      </c>
      <c r="B34" s="270"/>
      <c r="C34" s="90">
        <v>2</v>
      </c>
      <c r="D34" s="91">
        <v>3</v>
      </c>
      <c r="E34" s="91">
        <v>4</v>
      </c>
      <c r="F34" s="91">
        <v>5</v>
      </c>
      <c r="G34" s="91" t="s">
        <v>51</v>
      </c>
      <c r="H34" s="91" t="s">
        <v>52</v>
      </c>
    </row>
    <row r="35" spans="1:8" s="94" customFormat="1" ht="15" customHeight="1">
      <c r="A35" s="135">
        <v>31</v>
      </c>
      <c r="B35" s="136" t="s">
        <v>4</v>
      </c>
      <c r="C35" s="137">
        <f>SUM(C36,C38,C40)</f>
        <v>6325162</v>
      </c>
      <c r="D35" s="137">
        <f>SUM(D36,D38,D40)</f>
        <v>6340600</v>
      </c>
      <c r="E35" s="137">
        <f>SUM(E36,E38,E40)</f>
        <v>6496079</v>
      </c>
      <c r="F35" s="137">
        <f>SUM(F36,F38,F40)</f>
        <v>6846825.08</v>
      </c>
      <c r="G35" s="123">
        <f aca="true" t="shared" si="2" ref="G35:G73">F35/C35*100</f>
        <v>108.24742639002764</v>
      </c>
      <c r="H35" s="149">
        <f aca="true" t="shared" si="3" ref="H35:H92">F35/E35*100</f>
        <v>105.39935059287302</v>
      </c>
    </row>
    <row r="36" spans="1:10" s="94" customFormat="1" ht="15" customHeight="1">
      <c r="A36" s="132">
        <v>311</v>
      </c>
      <c r="B36" s="133" t="s">
        <v>5</v>
      </c>
      <c r="C36" s="134">
        <f>SUM(C37:C37)</f>
        <v>5240025</v>
      </c>
      <c r="D36" s="134">
        <f>SUM(D37:D37)</f>
        <v>5214000</v>
      </c>
      <c r="E36" s="134">
        <f>SUM(E37:E37)</f>
        <v>5342000</v>
      </c>
      <c r="F36" s="134">
        <f>SUM(F37:F37)</f>
        <v>5667083.08</v>
      </c>
      <c r="G36" s="127">
        <f t="shared" si="2"/>
        <v>108.14992447555116</v>
      </c>
      <c r="H36" s="150">
        <f t="shared" si="3"/>
        <v>106.08541894421566</v>
      </c>
      <c r="J36" s="94">
        <f>SUM(J37:J42)</f>
        <v>6496079</v>
      </c>
    </row>
    <row r="37" spans="1:10" s="92" customFormat="1" ht="15" customHeight="1">
      <c r="A37" s="96">
        <v>3111</v>
      </c>
      <c r="B37" s="61" t="s">
        <v>54</v>
      </c>
      <c r="C37" s="93">
        <v>5240025</v>
      </c>
      <c r="D37" s="93">
        <f>117000+117000+4980000</f>
        <v>5214000</v>
      </c>
      <c r="E37" s="213">
        <v>5342000</v>
      </c>
      <c r="F37" s="93">
        <v>5667083.08</v>
      </c>
      <c r="G37" s="51">
        <f t="shared" si="2"/>
        <v>108.14992447555116</v>
      </c>
      <c r="H37" s="54">
        <f t="shared" si="3"/>
        <v>106.08541894421566</v>
      </c>
      <c r="J37" s="94">
        <f>117000+80600+114400+4980000+50000</f>
        <v>5342000</v>
      </c>
    </row>
    <row r="38" spans="1:8" s="94" customFormat="1" ht="15">
      <c r="A38" s="132">
        <v>312</v>
      </c>
      <c r="B38" s="133" t="s">
        <v>6</v>
      </c>
      <c r="C38" s="134">
        <f>SUM(C39)</f>
        <v>220533</v>
      </c>
      <c r="D38" s="134">
        <f>SUM(D39)</f>
        <v>266000</v>
      </c>
      <c r="E38" s="134">
        <f>SUM(E39)</f>
        <v>272000</v>
      </c>
      <c r="F38" s="134">
        <f>SUM(F39)</f>
        <v>248326.23</v>
      </c>
      <c r="G38" s="127">
        <f t="shared" si="2"/>
        <v>112.6027533294337</v>
      </c>
      <c r="H38" s="150">
        <f t="shared" si="3"/>
        <v>91.29640808823531</v>
      </c>
    </row>
    <row r="39" spans="1:10" s="92" customFormat="1" ht="15">
      <c r="A39" s="96" t="s">
        <v>65</v>
      </c>
      <c r="B39" s="99" t="s">
        <v>6</v>
      </c>
      <c r="C39" s="93">
        <v>220533</v>
      </c>
      <c r="D39" s="93">
        <f>12000+12000+242000</f>
        <v>266000</v>
      </c>
      <c r="E39" s="213">
        <v>272000</v>
      </c>
      <c r="F39" s="93">
        <v>248326.23</v>
      </c>
      <c r="G39" s="51">
        <f t="shared" si="2"/>
        <v>112.6027533294337</v>
      </c>
      <c r="H39" s="54">
        <f t="shared" si="3"/>
        <v>91.29640808823531</v>
      </c>
      <c r="J39" s="94">
        <f>12000+6000+12000+242000</f>
        <v>272000</v>
      </c>
    </row>
    <row r="40" spans="1:8" s="94" customFormat="1" ht="15">
      <c r="A40" s="132">
        <v>313</v>
      </c>
      <c r="B40" s="133" t="s">
        <v>7</v>
      </c>
      <c r="C40" s="134">
        <f>SUM(C41:C42)</f>
        <v>864604</v>
      </c>
      <c r="D40" s="134">
        <f>SUM(D41:D42)</f>
        <v>860600</v>
      </c>
      <c r="E40" s="134">
        <f>SUM(E41:E42)</f>
        <v>882079</v>
      </c>
      <c r="F40" s="134">
        <f>SUM(F41:F42)</f>
        <v>931415.77</v>
      </c>
      <c r="G40" s="127">
        <f t="shared" si="2"/>
        <v>107.72744169585151</v>
      </c>
      <c r="H40" s="150">
        <f t="shared" si="3"/>
        <v>105.59323711368256</v>
      </c>
    </row>
    <row r="41" spans="1:10" s="92" customFormat="1" ht="15">
      <c r="A41" s="96">
        <v>3132</v>
      </c>
      <c r="B41" s="99" t="s">
        <v>55</v>
      </c>
      <c r="C41" s="93">
        <v>864604</v>
      </c>
      <c r="D41" s="93">
        <f>19300+19300+822000</f>
        <v>860600</v>
      </c>
      <c r="E41" s="93">
        <v>881229</v>
      </c>
      <c r="F41" s="93">
        <v>930429.24</v>
      </c>
      <c r="G41" s="51">
        <f t="shared" si="2"/>
        <v>107.61333974860167</v>
      </c>
      <c r="H41" s="54">
        <f t="shared" si="3"/>
        <v>105.58313900246132</v>
      </c>
      <c r="J41" s="94">
        <f>19300+13299+18880+829500+250</f>
        <v>881229</v>
      </c>
    </row>
    <row r="42" spans="1:10" s="92" customFormat="1" ht="30">
      <c r="A42" s="96">
        <v>3133</v>
      </c>
      <c r="B42" s="99" t="s">
        <v>56</v>
      </c>
      <c r="C42" s="93">
        <v>0</v>
      </c>
      <c r="D42" s="93">
        <v>0</v>
      </c>
      <c r="E42" s="213">
        <v>850</v>
      </c>
      <c r="F42" s="93">
        <v>986.53</v>
      </c>
      <c r="G42" s="51">
        <v>0</v>
      </c>
      <c r="H42" s="54">
        <v>0</v>
      </c>
      <c r="J42" s="92">
        <v>850</v>
      </c>
    </row>
    <row r="43" spans="1:8" s="94" customFormat="1" ht="15">
      <c r="A43" s="138">
        <v>32</v>
      </c>
      <c r="B43" s="139" t="s">
        <v>8</v>
      </c>
      <c r="C43" s="140">
        <f>SUM(C44,C49,C56,C66,C68)</f>
        <v>793259</v>
      </c>
      <c r="D43" s="140">
        <f>SUM(D44,D49,D56,D66,D68)</f>
        <v>1121185</v>
      </c>
      <c r="E43" s="140">
        <f>SUM(E44,E49,E56,E66,E68)</f>
        <v>1142837</v>
      </c>
      <c r="F43" s="140">
        <f>SUM(F44,F49,F56,F66,F68)</f>
        <v>829112.6699999999</v>
      </c>
      <c r="G43" s="123">
        <f t="shared" si="2"/>
        <v>104.51979366133885</v>
      </c>
      <c r="H43" s="149">
        <f t="shared" si="3"/>
        <v>72.54863729473232</v>
      </c>
    </row>
    <row r="44" spans="1:8" s="94" customFormat="1" ht="15">
      <c r="A44" s="132">
        <v>321</v>
      </c>
      <c r="B44" s="133" t="s">
        <v>9</v>
      </c>
      <c r="C44" s="134">
        <f>SUM(C45,C46,C47,C48)</f>
        <v>144927</v>
      </c>
      <c r="D44" s="134">
        <f>SUM(D45,D46,D47,D48)</f>
        <v>384560</v>
      </c>
      <c r="E44" s="134">
        <f>SUM(E45,E46,E47,E48)</f>
        <v>380862</v>
      </c>
      <c r="F44" s="134">
        <f>SUM(F45,F46,F47)</f>
        <v>169421.6</v>
      </c>
      <c r="G44" s="127">
        <f t="shared" si="2"/>
        <v>116.90133653494519</v>
      </c>
      <c r="H44" s="150">
        <f t="shared" si="3"/>
        <v>44.48372376346288</v>
      </c>
    </row>
    <row r="45" spans="1:8" s="92" customFormat="1" ht="15">
      <c r="A45" s="96" t="s">
        <v>57</v>
      </c>
      <c r="B45" s="99" t="s">
        <v>58</v>
      </c>
      <c r="C45" s="93">
        <v>6805</v>
      </c>
      <c r="D45" s="213">
        <f>23600+1000+150000+1000</f>
        <v>175600</v>
      </c>
      <c r="E45" s="213">
        <f>16600+1000+150000+400</f>
        <v>168000</v>
      </c>
      <c r="F45" s="93">
        <v>7230</v>
      </c>
      <c r="G45" s="51">
        <f t="shared" si="2"/>
        <v>106.24540778839089</v>
      </c>
      <c r="H45" s="54">
        <f t="shared" si="3"/>
        <v>4.303571428571429</v>
      </c>
    </row>
    <row r="46" spans="1:8" s="92" customFormat="1" ht="30">
      <c r="A46" s="96" t="s">
        <v>59</v>
      </c>
      <c r="B46" s="99" t="s">
        <v>10</v>
      </c>
      <c r="C46" s="93">
        <v>134622</v>
      </c>
      <c r="D46" s="213">
        <f>11400+175000+11400</f>
        <v>197800</v>
      </c>
      <c r="E46">
        <f>11400+3142+12160+175000</f>
        <v>201702</v>
      </c>
      <c r="F46" s="93">
        <v>157096.6</v>
      </c>
      <c r="G46" s="51">
        <f t="shared" si="2"/>
        <v>116.69459672267534</v>
      </c>
      <c r="H46" s="54">
        <f t="shared" si="3"/>
        <v>77.88549444229606</v>
      </c>
    </row>
    <row r="47" spans="1:8" s="92" customFormat="1" ht="15">
      <c r="A47" s="96">
        <v>3213</v>
      </c>
      <c r="B47" s="99" t="s">
        <v>95</v>
      </c>
      <c r="C47" s="93">
        <v>3500</v>
      </c>
      <c r="D47" s="213">
        <v>6000</v>
      </c>
      <c r="E47">
        <v>6000</v>
      </c>
      <c r="F47" s="93">
        <v>5095</v>
      </c>
      <c r="G47" s="51">
        <f t="shared" si="2"/>
        <v>145.57142857142858</v>
      </c>
      <c r="H47" s="54">
        <f t="shared" si="3"/>
        <v>84.91666666666666</v>
      </c>
    </row>
    <row r="48" spans="1:8" s="92" customFormat="1" ht="15">
      <c r="A48" s="96">
        <v>3214</v>
      </c>
      <c r="B48" s="99" t="s">
        <v>140</v>
      </c>
      <c r="C48" s="93">
        <v>0</v>
      </c>
      <c r="D48" s="213">
        <f>800+1360+3000</f>
        <v>5160</v>
      </c>
      <c r="E48">
        <f>800+1360+3000</f>
        <v>5160</v>
      </c>
      <c r="F48" s="93">
        <v>0</v>
      </c>
      <c r="G48" s="51" t="e">
        <f t="shared" si="2"/>
        <v>#DIV/0!</v>
      </c>
      <c r="H48" s="54">
        <f t="shared" si="3"/>
        <v>0</v>
      </c>
    </row>
    <row r="49" spans="1:8" s="94" customFormat="1" ht="15">
      <c r="A49" s="132">
        <v>322</v>
      </c>
      <c r="B49" s="133" t="s">
        <v>11</v>
      </c>
      <c r="C49" s="134">
        <f>SUM(C50:C55)</f>
        <v>402320</v>
      </c>
      <c r="D49" s="134">
        <f>SUM(D50:D55)</f>
        <v>481605</v>
      </c>
      <c r="E49" s="134">
        <f>SUM(E50:E55)</f>
        <v>483605</v>
      </c>
      <c r="F49" s="134">
        <f>SUM(F50:F55)</f>
        <v>405436.22</v>
      </c>
      <c r="G49" s="127">
        <f t="shared" si="2"/>
        <v>100.77456253728374</v>
      </c>
      <c r="H49" s="150">
        <f t="shared" si="3"/>
        <v>83.83623411668614</v>
      </c>
    </row>
    <row r="50" spans="1:8" s="92" customFormat="1" ht="15">
      <c r="A50" s="96" t="s">
        <v>60</v>
      </c>
      <c r="B50" s="99" t="s">
        <v>12</v>
      </c>
      <c r="C50" s="93">
        <v>155532</v>
      </c>
      <c r="D50" s="213">
        <f>66300+5000+2000+3000+4505+3000</f>
        <v>83805</v>
      </c>
      <c r="E50">
        <f>68300+5000+3000+2000+4505+3000</f>
        <v>85805</v>
      </c>
      <c r="F50" s="93">
        <v>61182.46</v>
      </c>
      <c r="G50" s="51">
        <f t="shared" si="2"/>
        <v>39.33753825579302</v>
      </c>
      <c r="H50" s="54">
        <f t="shared" si="3"/>
        <v>71.30407318920808</v>
      </c>
    </row>
    <row r="51" spans="1:8" s="92" customFormat="1" ht="15">
      <c r="A51" s="96">
        <v>3222</v>
      </c>
      <c r="B51" s="99" t="s">
        <v>96</v>
      </c>
      <c r="C51" s="93">
        <v>33878</v>
      </c>
      <c r="D51" s="213">
        <f>1000+130000</f>
        <v>131000</v>
      </c>
      <c r="E51" s="214">
        <f>1000+130000</f>
        <v>131000</v>
      </c>
      <c r="F51" s="93">
        <v>96806.3</v>
      </c>
      <c r="G51" s="51">
        <f t="shared" si="2"/>
        <v>285.74974909971075</v>
      </c>
      <c r="H51" s="54">
        <f t="shared" si="3"/>
        <v>73.89793893129772</v>
      </c>
    </row>
    <row r="52" spans="1:8" s="92" customFormat="1" ht="15">
      <c r="A52" s="96" t="s">
        <v>61</v>
      </c>
      <c r="B52" s="99" t="s">
        <v>62</v>
      </c>
      <c r="C52" s="93">
        <v>131323</v>
      </c>
      <c r="D52" s="213">
        <v>218300</v>
      </c>
      <c r="E52">
        <v>218300</v>
      </c>
      <c r="F52" s="93">
        <v>204790.94</v>
      </c>
      <c r="G52" s="51">
        <f t="shared" si="2"/>
        <v>155.94445755884348</v>
      </c>
      <c r="H52" s="54">
        <f t="shared" si="3"/>
        <v>93.81169949610629</v>
      </c>
    </row>
    <row r="53" spans="1:8" s="92" customFormat="1" ht="30">
      <c r="A53" s="96" t="s">
        <v>63</v>
      </c>
      <c r="B53" s="99" t="s">
        <v>64</v>
      </c>
      <c r="C53" s="93">
        <v>63492</v>
      </c>
      <c r="D53" s="213">
        <v>26000</v>
      </c>
      <c r="E53">
        <f>26000</f>
        <v>26000</v>
      </c>
      <c r="F53" s="93">
        <v>33294.28</v>
      </c>
      <c r="G53" s="51">
        <f t="shared" si="2"/>
        <v>52.43854343854344</v>
      </c>
      <c r="H53" s="54">
        <f t="shared" si="3"/>
        <v>128.05492307692307</v>
      </c>
    </row>
    <row r="54" spans="1:8" s="92" customFormat="1" ht="15">
      <c r="A54" s="96">
        <v>3225</v>
      </c>
      <c r="B54" s="99" t="s">
        <v>97</v>
      </c>
      <c r="C54" s="93">
        <v>9605</v>
      </c>
      <c r="D54" s="213">
        <f>5000+7000+7500</f>
        <v>19500</v>
      </c>
      <c r="E54">
        <f>5000+7000+7500</f>
        <v>19500</v>
      </c>
      <c r="F54" s="93">
        <v>4603.99</v>
      </c>
      <c r="G54" s="51">
        <f t="shared" si="2"/>
        <v>47.933263925039036</v>
      </c>
      <c r="H54" s="54">
        <f t="shared" si="3"/>
        <v>23.610205128205127</v>
      </c>
    </row>
    <row r="55" spans="1:8" s="92" customFormat="1" ht="15">
      <c r="A55" s="96">
        <v>3227</v>
      </c>
      <c r="B55" s="99" t="s">
        <v>98</v>
      </c>
      <c r="C55" s="93">
        <v>8490</v>
      </c>
      <c r="D55" s="213">
        <v>3000</v>
      </c>
      <c r="E55">
        <v>3000</v>
      </c>
      <c r="F55" s="93">
        <v>4758.25</v>
      </c>
      <c r="G55" s="51">
        <f t="shared" si="2"/>
        <v>56.045347467608956</v>
      </c>
      <c r="H55" s="54">
        <f t="shared" si="3"/>
        <v>158.60833333333332</v>
      </c>
    </row>
    <row r="56" spans="1:8" s="94" customFormat="1" ht="15">
      <c r="A56" s="132">
        <v>323</v>
      </c>
      <c r="B56" s="133" t="s">
        <v>13</v>
      </c>
      <c r="C56" s="134">
        <f>SUM(C57:C65)</f>
        <v>213581</v>
      </c>
      <c r="D56" s="134">
        <f>SUM(D57:D65)</f>
        <v>212520</v>
      </c>
      <c r="E56" s="134">
        <f>SUM(E57:E65)</f>
        <v>225620</v>
      </c>
      <c r="F56" s="134">
        <f>SUM(F57:F65)</f>
        <v>194796.72</v>
      </c>
      <c r="G56" s="127">
        <f t="shared" si="2"/>
        <v>91.2050791034783</v>
      </c>
      <c r="H56" s="150">
        <f t="shared" si="3"/>
        <v>86.33840971545077</v>
      </c>
    </row>
    <row r="57" spans="1:8" s="92" customFormat="1" ht="15">
      <c r="A57" s="96" t="s">
        <v>66</v>
      </c>
      <c r="B57" s="99" t="s">
        <v>67</v>
      </c>
      <c r="C57" s="93">
        <v>44569</v>
      </c>
      <c r="D57" s="213">
        <f>88200+500+4000</f>
        <v>92700</v>
      </c>
      <c r="E57">
        <f>65000+3200+500+4000</f>
        <v>72700</v>
      </c>
      <c r="F57" s="93">
        <v>46383.32</v>
      </c>
      <c r="G57" s="51">
        <f t="shared" si="2"/>
        <v>104.07081155062936</v>
      </c>
      <c r="H57" s="54">
        <f t="shared" si="3"/>
        <v>63.80099037138927</v>
      </c>
    </row>
    <row r="58" spans="1:8" s="92" customFormat="1" ht="15">
      <c r="A58" s="96" t="s">
        <v>68</v>
      </c>
      <c r="B58" s="99" t="s">
        <v>69</v>
      </c>
      <c r="C58" s="93">
        <v>66182</v>
      </c>
      <c r="D58" s="213">
        <v>32920</v>
      </c>
      <c r="E58">
        <f>47920+9600</f>
        <v>57520</v>
      </c>
      <c r="F58" s="93">
        <v>70080.2</v>
      </c>
      <c r="G58" s="51">
        <f t="shared" si="2"/>
        <v>105.89012118098576</v>
      </c>
      <c r="H58" s="54">
        <f t="shared" si="3"/>
        <v>121.83623087621696</v>
      </c>
    </row>
    <row r="59" spans="1:8" s="92" customFormat="1" ht="15">
      <c r="A59" s="96">
        <v>3233</v>
      </c>
      <c r="B59" s="99" t="s">
        <v>122</v>
      </c>
      <c r="C59" s="93">
        <v>0</v>
      </c>
      <c r="D59" s="213">
        <v>3000</v>
      </c>
      <c r="E59">
        <f>18500+3000</f>
        <v>21500</v>
      </c>
      <c r="F59" s="93">
        <v>0</v>
      </c>
      <c r="G59" s="51" t="e">
        <f t="shared" si="2"/>
        <v>#DIV/0!</v>
      </c>
      <c r="H59" s="54">
        <f t="shared" si="3"/>
        <v>0</v>
      </c>
    </row>
    <row r="60" spans="1:8" s="92" customFormat="1" ht="15">
      <c r="A60" s="96" t="s">
        <v>70</v>
      </c>
      <c r="B60" s="99" t="s">
        <v>71</v>
      </c>
      <c r="C60" s="93">
        <v>11059</v>
      </c>
      <c r="D60" s="213">
        <v>15500</v>
      </c>
      <c r="E60"/>
      <c r="F60" s="93">
        <v>18422.15</v>
      </c>
      <c r="G60" s="51">
        <f t="shared" si="2"/>
        <v>166.58061307532327</v>
      </c>
      <c r="H60" s="54" t="e">
        <f t="shared" si="3"/>
        <v>#DIV/0!</v>
      </c>
    </row>
    <row r="61" spans="1:8" s="92" customFormat="1" ht="15">
      <c r="A61" s="96">
        <v>3235</v>
      </c>
      <c r="B61" s="99" t="s">
        <v>99</v>
      </c>
      <c r="C61" s="93">
        <v>13975</v>
      </c>
      <c r="D61" s="213">
        <v>15000</v>
      </c>
      <c r="E61">
        <v>15000</v>
      </c>
      <c r="F61" s="93">
        <v>14751.7</v>
      </c>
      <c r="G61" s="51">
        <f t="shared" si="2"/>
        <v>105.5577817531306</v>
      </c>
      <c r="H61" s="54">
        <v>0</v>
      </c>
    </row>
    <row r="62" spans="1:8" s="92" customFormat="1" ht="15">
      <c r="A62" s="96">
        <v>3236</v>
      </c>
      <c r="B62" s="99" t="s">
        <v>100</v>
      </c>
      <c r="C62" s="93">
        <v>11000</v>
      </c>
      <c r="D62" s="213">
        <v>18000</v>
      </c>
      <c r="E62">
        <v>18000</v>
      </c>
      <c r="F62" s="93">
        <v>12080</v>
      </c>
      <c r="G62" s="51">
        <f t="shared" si="2"/>
        <v>109.81818181818181</v>
      </c>
      <c r="H62" s="54">
        <f t="shared" si="3"/>
        <v>67.11111111111111</v>
      </c>
    </row>
    <row r="63" spans="1:8" s="92" customFormat="1" ht="15">
      <c r="A63" s="96">
        <v>3237</v>
      </c>
      <c r="B63" s="99" t="s">
        <v>101</v>
      </c>
      <c r="C63" s="93">
        <v>8500</v>
      </c>
      <c r="D63" s="213">
        <v>1000</v>
      </c>
      <c r="E63">
        <v>1000</v>
      </c>
      <c r="F63" s="93">
        <v>465.37</v>
      </c>
      <c r="G63" s="51">
        <f t="shared" si="2"/>
        <v>5.474941176470588</v>
      </c>
      <c r="H63" s="54">
        <f t="shared" si="3"/>
        <v>46.537</v>
      </c>
    </row>
    <row r="64" spans="1:8" s="92" customFormat="1" ht="15">
      <c r="A64" s="96" t="s">
        <v>72</v>
      </c>
      <c r="B64" s="99" t="s">
        <v>73</v>
      </c>
      <c r="C64" s="93">
        <v>36748</v>
      </c>
      <c r="D64" s="213">
        <f>19600+9500</f>
        <v>29100</v>
      </c>
      <c r="E64">
        <f>25100+9500</f>
        <v>34600</v>
      </c>
      <c r="F64" s="93">
        <v>31450.48</v>
      </c>
      <c r="G64" s="51">
        <f t="shared" si="2"/>
        <v>85.58419505823446</v>
      </c>
      <c r="H64" s="54">
        <f t="shared" si="3"/>
        <v>90.89734104046244</v>
      </c>
    </row>
    <row r="65" spans="1:8" s="92" customFormat="1" ht="15">
      <c r="A65" s="96" t="s">
        <v>74</v>
      </c>
      <c r="B65" s="99" t="s">
        <v>14</v>
      </c>
      <c r="C65" s="93">
        <v>21548</v>
      </c>
      <c r="D65" s="213">
        <f>2300+3000</f>
        <v>5300</v>
      </c>
      <c r="E65">
        <f>2300+3000</f>
        <v>5300</v>
      </c>
      <c r="F65" s="93">
        <v>1163.5</v>
      </c>
      <c r="G65" s="51">
        <f t="shared" si="2"/>
        <v>5.399573046222387</v>
      </c>
      <c r="H65" s="54">
        <f t="shared" si="3"/>
        <v>21.952830188679247</v>
      </c>
    </row>
    <row r="66" spans="1:8" s="94" customFormat="1" ht="30">
      <c r="A66" s="132">
        <v>324</v>
      </c>
      <c r="B66" s="133" t="s">
        <v>20</v>
      </c>
      <c r="C66" s="134">
        <f>SUM(C67)</f>
        <v>1631</v>
      </c>
      <c r="D66" s="134">
        <f>SUM(D67)</f>
        <v>100</v>
      </c>
      <c r="E66" s="134">
        <f>SUM(E67)</f>
        <v>100</v>
      </c>
      <c r="F66" s="134">
        <f>SUM(F67)</f>
        <v>0</v>
      </c>
      <c r="G66" s="127">
        <f t="shared" si="2"/>
        <v>0</v>
      </c>
      <c r="H66" s="150">
        <f t="shared" si="3"/>
        <v>0</v>
      </c>
    </row>
    <row r="67" spans="1:8" s="92" customFormat="1" ht="30">
      <c r="A67" s="96">
        <v>3241</v>
      </c>
      <c r="B67" s="99" t="s">
        <v>20</v>
      </c>
      <c r="C67" s="93">
        <v>1631</v>
      </c>
      <c r="D67" s="93">
        <v>100</v>
      </c>
      <c r="E67" s="93">
        <v>100</v>
      </c>
      <c r="F67" s="93">
        <v>0</v>
      </c>
      <c r="G67" s="51">
        <v>0</v>
      </c>
      <c r="H67" s="54">
        <f t="shared" si="3"/>
        <v>0</v>
      </c>
    </row>
    <row r="68" spans="1:8" s="94" customFormat="1" ht="15">
      <c r="A68" s="132">
        <v>329</v>
      </c>
      <c r="B68" s="133" t="s">
        <v>15</v>
      </c>
      <c r="C68" s="134">
        <f>SUM(C69:C75)</f>
        <v>30800</v>
      </c>
      <c r="D68" s="134">
        <f>SUM(D69:D75)</f>
        <v>42400</v>
      </c>
      <c r="E68" s="134">
        <f>SUM(E69:E75)</f>
        <v>52650</v>
      </c>
      <c r="F68" s="134">
        <f>SUM(F69:F75)</f>
        <v>59458.130000000005</v>
      </c>
      <c r="G68" s="127">
        <f t="shared" si="2"/>
        <v>193.04587662337664</v>
      </c>
      <c r="H68" s="150">
        <f t="shared" si="3"/>
        <v>112.93092117758785</v>
      </c>
    </row>
    <row r="69" spans="1:8" s="92" customFormat="1" ht="30">
      <c r="A69" s="96" t="s">
        <v>75</v>
      </c>
      <c r="B69" s="99" t="s">
        <v>76</v>
      </c>
      <c r="C69" s="93">
        <v>0</v>
      </c>
      <c r="D69" s="213">
        <v>0</v>
      </c>
      <c r="E69">
        <v>0</v>
      </c>
      <c r="F69" s="93">
        <v>0</v>
      </c>
      <c r="G69" s="51" t="e">
        <f t="shared" si="2"/>
        <v>#DIV/0!</v>
      </c>
      <c r="H69" s="54" t="e">
        <f t="shared" si="3"/>
        <v>#DIV/0!</v>
      </c>
    </row>
    <row r="70" spans="1:8" s="92" customFormat="1" ht="15">
      <c r="A70" s="96">
        <v>3292</v>
      </c>
      <c r="B70" s="99" t="s">
        <v>123</v>
      </c>
      <c r="C70" s="93"/>
      <c r="D70" s="213">
        <v>3000</v>
      </c>
      <c r="E70">
        <v>3000</v>
      </c>
      <c r="F70" s="93">
        <v>0</v>
      </c>
      <c r="G70" s="51" t="e">
        <f>F70/C70*100</f>
        <v>#DIV/0!</v>
      </c>
      <c r="H70" s="54">
        <f>F70/E70*100</f>
        <v>0</v>
      </c>
    </row>
    <row r="71" spans="1:8" s="92" customFormat="1" ht="15">
      <c r="A71" s="96" t="s">
        <v>77</v>
      </c>
      <c r="B71" s="99" t="s">
        <v>78</v>
      </c>
      <c r="C71" s="93">
        <v>337</v>
      </c>
      <c r="D71" s="213">
        <f>1400+3000</f>
        <v>4400</v>
      </c>
      <c r="E71">
        <v>1400</v>
      </c>
      <c r="F71" s="93">
        <v>449.88</v>
      </c>
      <c r="G71" s="51">
        <f t="shared" si="2"/>
        <v>133.49554896142433</v>
      </c>
      <c r="H71" s="54">
        <f t="shared" si="3"/>
        <v>32.13428571428572</v>
      </c>
    </row>
    <row r="72" spans="1:8" s="92" customFormat="1" ht="15">
      <c r="A72" s="96">
        <v>3294</v>
      </c>
      <c r="B72" s="99" t="s">
        <v>102</v>
      </c>
      <c r="C72" s="93">
        <v>1100</v>
      </c>
      <c r="D72" s="213">
        <v>1500</v>
      </c>
      <c r="E72">
        <v>1500</v>
      </c>
      <c r="F72" s="93">
        <v>1100</v>
      </c>
      <c r="G72" s="51">
        <f t="shared" si="2"/>
        <v>100</v>
      </c>
      <c r="H72" s="54">
        <f t="shared" si="3"/>
        <v>73.33333333333333</v>
      </c>
    </row>
    <row r="73" spans="1:8" s="92" customFormat="1" ht="15">
      <c r="A73" s="96">
        <v>3295</v>
      </c>
      <c r="B73" s="99" t="s">
        <v>79</v>
      </c>
      <c r="C73" s="93">
        <v>29063</v>
      </c>
      <c r="D73" s="213">
        <v>27000</v>
      </c>
      <c r="E73">
        <v>27000</v>
      </c>
      <c r="F73" s="93">
        <v>13412.5</v>
      </c>
      <c r="G73" s="51">
        <f t="shared" si="2"/>
        <v>46.14974366032412</v>
      </c>
      <c r="H73" s="54">
        <f t="shared" si="3"/>
        <v>49.675925925925924</v>
      </c>
    </row>
    <row r="74" spans="1:8" s="92" customFormat="1" ht="15">
      <c r="A74" s="96">
        <v>3296</v>
      </c>
      <c r="B74" s="99" t="s">
        <v>138</v>
      </c>
      <c r="C74" s="93"/>
      <c r="D74" s="213"/>
      <c r="E74">
        <v>12250</v>
      </c>
      <c r="F74" s="93">
        <v>36562.5</v>
      </c>
      <c r="G74" s="51"/>
      <c r="H74" s="54">
        <f t="shared" si="3"/>
        <v>298.46938775510205</v>
      </c>
    </row>
    <row r="75" spans="1:10" s="92" customFormat="1" ht="15">
      <c r="A75" s="96" t="s">
        <v>80</v>
      </c>
      <c r="B75" s="99" t="s">
        <v>15</v>
      </c>
      <c r="C75" s="93">
        <v>300</v>
      </c>
      <c r="D75" s="213">
        <f>3500+3000</f>
        <v>6500</v>
      </c>
      <c r="E75">
        <f>4500+3000</f>
        <v>7500</v>
      </c>
      <c r="F75" s="93">
        <v>7933.25</v>
      </c>
      <c r="G75" s="51">
        <f>F75/C75*100</f>
        <v>2644.416666666667</v>
      </c>
      <c r="H75" s="54">
        <f t="shared" si="3"/>
        <v>105.77666666666667</v>
      </c>
      <c r="J75"/>
    </row>
    <row r="76" spans="1:8" s="94" customFormat="1" ht="15">
      <c r="A76" s="138">
        <v>34</v>
      </c>
      <c r="B76" s="139" t="s">
        <v>16</v>
      </c>
      <c r="C76" s="140">
        <f aca="true" t="shared" si="4" ref="C76:F77">SUM(C77)</f>
        <v>2167</v>
      </c>
      <c r="D76" s="140">
        <f t="shared" si="4"/>
        <v>3000</v>
      </c>
      <c r="E76" s="140">
        <f>E77</f>
        <v>17850</v>
      </c>
      <c r="F76" s="140">
        <f t="shared" si="4"/>
        <v>24113.850000000002</v>
      </c>
      <c r="G76" s="123">
        <f aca="true" t="shared" si="5" ref="G76:G92">F76/C76*100</f>
        <v>1112.77572681126</v>
      </c>
      <c r="H76" s="149">
        <f t="shared" si="3"/>
        <v>135.09159663865546</v>
      </c>
    </row>
    <row r="77" spans="1:8" s="94" customFormat="1" ht="15">
      <c r="A77" s="132">
        <v>343</v>
      </c>
      <c r="B77" s="133" t="s">
        <v>17</v>
      </c>
      <c r="C77" s="134">
        <f t="shared" si="4"/>
        <v>2167</v>
      </c>
      <c r="D77" s="134">
        <f t="shared" si="4"/>
        <v>3000</v>
      </c>
      <c r="E77" s="134">
        <f>SUM(E78,E79)</f>
        <v>17850</v>
      </c>
      <c r="F77" s="134">
        <f>SUM(F78:F79)</f>
        <v>24113.850000000002</v>
      </c>
      <c r="G77" s="127">
        <f t="shared" si="5"/>
        <v>1112.77572681126</v>
      </c>
      <c r="H77" s="150">
        <f t="shared" si="3"/>
        <v>135.09159663865546</v>
      </c>
    </row>
    <row r="78" spans="1:8" s="92" customFormat="1" ht="15">
      <c r="A78" s="96" t="s">
        <v>81</v>
      </c>
      <c r="B78" s="99" t="s">
        <v>82</v>
      </c>
      <c r="C78" s="93">
        <v>2167</v>
      </c>
      <c r="D78" s="213">
        <v>3000</v>
      </c>
      <c r="E78" s="214">
        <v>3500</v>
      </c>
      <c r="F78" s="93">
        <v>2963.11</v>
      </c>
      <c r="G78" s="51">
        <f t="shared" si="5"/>
        <v>136.73788647900324</v>
      </c>
      <c r="H78" s="54">
        <f t="shared" si="3"/>
        <v>84.66028571428572</v>
      </c>
    </row>
    <row r="79" spans="1:8" s="92" customFormat="1" ht="15">
      <c r="A79" s="96">
        <v>3433</v>
      </c>
      <c r="B79" s="99" t="s">
        <v>139</v>
      </c>
      <c r="C79" s="93">
        <v>0</v>
      </c>
      <c r="D79" s="93">
        <v>0</v>
      </c>
      <c r="E79">
        <v>14350</v>
      </c>
      <c r="F79" s="93">
        <v>21150.74</v>
      </c>
      <c r="G79" s="51"/>
      <c r="H79" s="54"/>
    </row>
    <row r="80" spans="1:8" s="92" customFormat="1" ht="15">
      <c r="A80" s="138">
        <v>37</v>
      </c>
      <c r="B80" s="139" t="s">
        <v>105</v>
      </c>
      <c r="C80" s="140">
        <f>SUM(C81)</f>
        <v>144926</v>
      </c>
      <c r="D80" s="140">
        <f>SUM(D81)</f>
        <v>0</v>
      </c>
      <c r="E80" s="140">
        <f>SUM(E81)</f>
        <v>146500</v>
      </c>
      <c r="F80" s="140">
        <f>SUM(F81)</f>
        <v>146206.91</v>
      </c>
      <c r="G80" s="123">
        <f t="shared" si="5"/>
        <v>100.88383726867505</v>
      </c>
      <c r="H80" s="149">
        <f t="shared" si="3"/>
        <v>99.79993856655291</v>
      </c>
    </row>
    <row r="81" spans="1:10" s="92" customFormat="1" ht="30">
      <c r="A81" s="132">
        <v>372</v>
      </c>
      <c r="B81" s="133" t="s">
        <v>106</v>
      </c>
      <c r="C81" s="134">
        <f>SUM(C82:C83)</f>
        <v>144926</v>
      </c>
      <c r="D81" s="134">
        <f>SUM(D82:D83)</f>
        <v>0</v>
      </c>
      <c r="E81" s="134">
        <f>SUM(E82:E83)</f>
        <v>146500</v>
      </c>
      <c r="F81" s="134">
        <f>SUM(F82:F83)</f>
        <v>146206.91</v>
      </c>
      <c r="G81" s="127">
        <f t="shared" si="5"/>
        <v>100.88383726867505</v>
      </c>
      <c r="H81" s="150">
        <f t="shared" si="3"/>
        <v>99.79993856655291</v>
      </c>
      <c r="J81"/>
    </row>
    <row r="82" spans="1:8" s="92" customFormat="1" ht="15">
      <c r="A82" s="96">
        <v>3721</v>
      </c>
      <c r="B82" s="99" t="s">
        <v>118</v>
      </c>
      <c r="C82" s="93">
        <v>0</v>
      </c>
      <c r="D82" s="93">
        <v>0</v>
      </c>
      <c r="E82" s="93">
        <v>0</v>
      </c>
      <c r="F82" s="95">
        <v>0</v>
      </c>
      <c r="G82" s="51">
        <v>0</v>
      </c>
      <c r="H82" s="54">
        <v>0</v>
      </c>
    </row>
    <row r="83" spans="1:8" s="92" customFormat="1" ht="15">
      <c r="A83" s="96">
        <v>3722</v>
      </c>
      <c r="B83" s="99" t="s">
        <v>107</v>
      </c>
      <c r="C83" s="93">
        <v>144926</v>
      </c>
      <c r="D83" s="93">
        <v>0</v>
      </c>
      <c r="E83">
        <v>146500</v>
      </c>
      <c r="F83" s="93">
        <v>146206.91</v>
      </c>
      <c r="G83" s="51">
        <f t="shared" si="5"/>
        <v>100.88383726867505</v>
      </c>
      <c r="H83" s="54">
        <f t="shared" si="3"/>
        <v>99.79993856655291</v>
      </c>
    </row>
    <row r="84" spans="1:8" s="92" customFormat="1" ht="15">
      <c r="A84" s="192">
        <v>38</v>
      </c>
      <c r="B84" s="193" t="s">
        <v>125</v>
      </c>
      <c r="C84" s="140">
        <f>SUM(C85)</f>
        <v>0</v>
      </c>
      <c r="D84" s="141"/>
      <c r="E84" s="141"/>
      <c r="F84" s="141"/>
      <c r="G84" s="123"/>
      <c r="H84" s="149"/>
    </row>
    <row r="85" spans="1:8" s="92" customFormat="1" ht="15">
      <c r="A85" s="96">
        <v>3811</v>
      </c>
      <c r="B85" s="99" t="s">
        <v>124</v>
      </c>
      <c r="C85" s="93">
        <v>0</v>
      </c>
      <c r="D85" s="93">
        <v>0</v>
      </c>
      <c r="E85" s="93">
        <v>0</v>
      </c>
      <c r="F85" s="93">
        <v>0</v>
      </c>
      <c r="G85" s="51">
        <v>0</v>
      </c>
      <c r="H85" s="54">
        <v>0</v>
      </c>
    </row>
    <row r="86" spans="1:8" s="92" customFormat="1" ht="21" customHeight="1">
      <c r="A86" s="138">
        <v>4</v>
      </c>
      <c r="B86" s="139" t="s">
        <v>114</v>
      </c>
      <c r="C86" s="140">
        <f>SUM(C87)</f>
        <v>256980</v>
      </c>
      <c r="D86" s="140">
        <f>SUM(D87)</f>
        <v>258200</v>
      </c>
      <c r="E86" s="140">
        <f>SUM(E87)</f>
        <v>243200</v>
      </c>
      <c r="F86" s="140">
        <f>SUM(F87)</f>
        <v>204239.68000000002</v>
      </c>
      <c r="G86" s="123">
        <f t="shared" si="5"/>
        <v>79.47687757802164</v>
      </c>
      <c r="H86" s="149">
        <f t="shared" si="3"/>
        <v>83.98013157894738</v>
      </c>
    </row>
    <row r="87" spans="1:8" s="94" customFormat="1" ht="21" customHeight="1">
      <c r="A87" s="138">
        <v>42</v>
      </c>
      <c r="B87" s="139" t="s">
        <v>19</v>
      </c>
      <c r="C87" s="140">
        <f>SUM(C88,C90,)</f>
        <v>256980</v>
      </c>
      <c r="D87" s="140">
        <f>SUM(D88,D90,)</f>
        <v>258200</v>
      </c>
      <c r="E87" s="140">
        <f>SUM(E88,E90,)</f>
        <v>243200</v>
      </c>
      <c r="F87" s="140">
        <f>SUM(F88,F90,)</f>
        <v>204239.68000000002</v>
      </c>
      <c r="G87" s="123">
        <f t="shared" si="5"/>
        <v>79.47687757802164</v>
      </c>
      <c r="H87" s="149">
        <f t="shared" si="3"/>
        <v>83.98013157894738</v>
      </c>
    </row>
    <row r="88" spans="1:8" s="94" customFormat="1" ht="15">
      <c r="A88" s="132">
        <v>422</v>
      </c>
      <c r="B88" s="133" t="s">
        <v>18</v>
      </c>
      <c r="C88" s="134">
        <f>SUM(C89:C89,)</f>
        <v>89742</v>
      </c>
      <c r="D88" s="134">
        <f>SUM(D89:D89,)</f>
        <v>89500</v>
      </c>
      <c r="E88" s="134">
        <f>SUM(E89:E89,)</f>
        <v>74500</v>
      </c>
      <c r="F88" s="134">
        <f>SUM(F89:F89,)</f>
        <v>34265.26</v>
      </c>
      <c r="G88" s="127">
        <f t="shared" si="5"/>
        <v>38.181966080542004</v>
      </c>
      <c r="H88" s="150">
        <f t="shared" si="3"/>
        <v>45.99363758389262</v>
      </c>
    </row>
    <row r="89" spans="1:8" s="92" customFormat="1" ht="15">
      <c r="A89" s="96" t="s">
        <v>83</v>
      </c>
      <c r="B89" s="99" t="s">
        <v>84</v>
      </c>
      <c r="C89" s="93">
        <v>89742</v>
      </c>
      <c r="D89" s="213">
        <f>31500+28000+8000+22000</f>
        <v>89500</v>
      </c>
      <c r="E89" s="93">
        <f>52500+22000</f>
        <v>74500</v>
      </c>
      <c r="F89" s="93">
        <v>34265.26</v>
      </c>
      <c r="G89" s="51">
        <f t="shared" si="5"/>
        <v>38.181966080542004</v>
      </c>
      <c r="H89" s="54">
        <f t="shared" si="3"/>
        <v>45.99363758389262</v>
      </c>
    </row>
    <row r="90" spans="1:8" s="92" customFormat="1" ht="15">
      <c r="A90" s="146">
        <v>424</v>
      </c>
      <c r="B90" s="147" t="s">
        <v>103</v>
      </c>
      <c r="C90" s="148">
        <f>SUM(C91)</f>
        <v>167238</v>
      </c>
      <c r="D90" s="148">
        <f>SUM(D91)</f>
        <v>168700</v>
      </c>
      <c r="E90" s="148">
        <f>SUM(E91)</f>
        <v>168700</v>
      </c>
      <c r="F90" s="148">
        <f>SUM(F91)</f>
        <v>169974.42</v>
      </c>
      <c r="G90" s="127">
        <f>F90/C90*100</f>
        <v>101.6362429591361</v>
      </c>
      <c r="H90" s="150">
        <f>F90/E90*100</f>
        <v>100.75543568464731</v>
      </c>
    </row>
    <row r="91" spans="1:8" s="92" customFormat="1" ht="15">
      <c r="A91" s="96">
        <v>4241</v>
      </c>
      <c r="B91" s="99" t="s">
        <v>104</v>
      </c>
      <c r="C91" s="93">
        <v>167238</v>
      </c>
      <c r="D91" s="213">
        <f>160000+2400+6300</f>
        <v>168700</v>
      </c>
      <c r="E91" s="213">
        <f>160000+2400+6300</f>
        <v>168700</v>
      </c>
      <c r="F91" s="93">
        <v>169974.42</v>
      </c>
      <c r="G91" s="51">
        <f t="shared" si="5"/>
        <v>101.6362429591361</v>
      </c>
      <c r="H91" s="54">
        <f t="shared" si="3"/>
        <v>100.75543568464731</v>
      </c>
    </row>
    <row r="92" spans="1:8" s="116" customFormat="1" ht="19.5">
      <c r="A92" s="267" t="s">
        <v>89</v>
      </c>
      <c r="B92" s="268"/>
      <c r="C92" s="256">
        <f>SUM(C35,C43,C76,C80,C86,C84)</f>
        <v>7522494</v>
      </c>
      <c r="D92" s="256">
        <f>SUM(D35,D43,D76,D80,D86)</f>
        <v>7722985</v>
      </c>
      <c r="E92" s="256">
        <f>SUM(E35,E43,E76,E80,E86)</f>
        <v>8046466</v>
      </c>
      <c r="F92" s="256">
        <f>SUM(F35,F43,F76,F80,F86)</f>
        <v>8050498.1899999995</v>
      </c>
      <c r="G92" s="8">
        <f t="shared" si="5"/>
        <v>107.01900446846484</v>
      </c>
      <c r="H92" s="8">
        <f t="shared" si="3"/>
        <v>100.05011131594914</v>
      </c>
    </row>
    <row r="93" spans="1:8" s="64" customFormat="1" ht="20.25">
      <c r="A93" s="97"/>
      <c r="B93" s="97"/>
      <c r="C93" s="97"/>
      <c r="D93" s="97"/>
      <c r="E93" s="97"/>
      <c r="F93" s="97"/>
      <c r="G93" s="97"/>
      <c r="H93" s="98"/>
    </row>
    <row r="94" spans="1:8" s="64" customFormat="1" ht="20.25">
      <c r="A94" s="37"/>
      <c r="B94" s="37"/>
      <c r="C94" s="37"/>
      <c r="D94" s="37"/>
      <c r="E94" s="37"/>
      <c r="F94" s="37"/>
      <c r="G94" s="37"/>
      <c r="H94" s="23"/>
    </row>
    <row r="95" spans="1:8" s="64" customFormat="1" ht="20.25">
      <c r="A95" s="37"/>
      <c r="B95" s="37"/>
      <c r="C95" s="37"/>
      <c r="D95" s="37"/>
      <c r="E95" s="37"/>
      <c r="F95" s="37"/>
      <c r="G95" s="37"/>
      <c r="H95" s="23"/>
    </row>
    <row r="96" spans="1:8" s="64" customFormat="1" ht="20.25">
      <c r="A96" s="37"/>
      <c r="B96" s="37"/>
      <c r="C96" s="37"/>
      <c r="D96" s="37"/>
      <c r="E96" s="37"/>
      <c r="F96" s="37"/>
      <c r="G96" s="37"/>
      <c r="H96" s="23"/>
    </row>
    <row r="97" spans="1:8" s="64" customFormat="1" ht="20.25">
      <c r="A97" s="37"/>
      <c r="B97" s="37"/>
      <c r="C97" s="37"/>
      <c r="D97" s="37"/>
      <c r="E97" s="37"/>
      <c r="F97" s="37"/>
      <c r="G97" s="37"/>
      <c r="H97" s="23"/>
    </row>
    <row r="98" spans="1:8" s="64" customFormat="1" ht="20.25">
      <c r="A98" s="37"/>
      <c r="B98" s="37"/>
      <c r="C98" s="37"/>
      <c r="D98" s="37"/>
      <c r="E98" s="37"/>
      <c r="F98" s="37"/>
      <c r="G98" s="37"/>
      <c r="H98" s="23"/>
    </row>
    <row r="99" spans="1:8" s="64" customFormat="1" ht="20.25">
      <c r="A99" s="37"/>
      <c r="B99" s="37"/>
      <c r="C99" s="37"/>
      <c r="D99" s="37"/>
      <c r="E99" s="37"/>
      <c r="F99" s="37"/>
      <c r="G99" s="37"/>
      <c r="H99" s="23"/>
    </row>
    <row r="100" spans="1:8" s="64" customFormat="1" ht="20.25">
      <c r="A100" s="37"/>
      <c r="B100" s="37"/>
      <c r="C100" s="37"/>
      <c r="D100" s="37"/>
      <c r="E100" s="37"/>
      <c r="F100" s="37"/>
      <c r="G100" s="37"/>
      <c r="H100" s="23"/>
    </row>
    <row r="101" spans="1:8" s="64" customFormat="1" ht="20.25">
      <c r="A101" s="37"/>
      <c r="B101" s="37"/>
      <c r="C101" s="37"/>
      <c r="D101" s="37"/>
      <c r="E101" s="37"/>
      <c r="F101" s="37"/>
      <c r="G101" s="37"/>
      <c r="H101" s="23"/>
    </row>
    <row r="102" spans="1:8" s="64" customFormat="1" ht="20.25">
      <c r="A102" s="37"/>
      <c r="B102" s="37"/>
      <c r="C102" s="37"/>
      <c r="D102" s="37"/>
      <c r="E102" s="37"/>
      <c r="F102" s="37"/>
      <c r="G102" s="37"/>
      <c r="H102" s="23"/>
    </row>
    <row r="103" spans="1:8" s="64" customFormat="1" ht="20.25">
      <c r="A103" s="37"/>
      <c r="B103" s="37"/>
      <c r="C103" s="37"/>
      <c r="D103" s="37"/>
      <c r="E103" s="37"/>
      <c r="F103" s="37"/>
      <c r="G103" s="37"/>
      <c r="H103" s="23"/>
    </row>
    <row r="106" ht="15">
      <c r="D106" s="34"/>
    </row>
  </sheetData>
  <sheetProtection/>
  <mergeCells count="25">
    <mergeCell ref="A92:B92"/>
    <mergeCell ref="A2:H2"/>
    <mergeCell ref="E32:E33"/>
    <mergeCell ref="F32:F33"/>
    <mergeCell ref="F6:F7"/>
    <mergeCell ref="G6:G7"/>
    <mergeCell ref="G32:G33"/>
    <mergeCell ref="H32:H33"/>
    <mergeCell ref="A34:B34"/>
    <mergeCell ref="A32:A33"/>
    <mergeCell ref="B32:B33"/>
    <mergeCell ref="C32:C33"/>
    <mergeCell ref="D32:D33"/>
    <mergeCell ref="A23:B23"/>
    <mergeCell ref="H6:H7"/>
    <mergeCell ref="A8:B8"/>
    <mergeCell ref="A31:G31"/>
    <mergeCell ref="A27:B27"/>
    <mergeCell ref="A1:G1"/>
    <mergeCell ref="A4:G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fitToHeight="4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4"/>
  <sheetViews>
    <sheetView tabSelected="1" view="pageBreakPreview" zoomScale="85" zoomScaleNormal="85" zoomScaleSheetLayoutView="85" workbookViewId="0" topLeftCell="A294">
      <selection activeCell="C88" sqref="C88"/>
    </sheetView>
  </sheetViews>
  <sheetFormatPr defaultColWidth="9.140625" defaultRowHeight="12.75"/>
  <cols>
    <col min="1" max="1" width="11.57421875" style="3" customWidth="1"/>
    <col min="2" max="2" width="44.7109375" style="3" customWidth="1"/>
    <col min="3" max="3" width="17.7109375" style="3" customWidth="1"/>
    <col min="4" max="7" width="17.7109375" style="12" customWidth="1"/>
    <col min="8" max="13" width="15.140625" style="3" customWidth="1"/>
    <col min="14" max="14" width="16.7109375" style="3" hidden="1" customWidth="1"/>
    <col min="15" max="15" width="16.421875" style="3" hidden="1" customWidth="1"/>
    <col min="16" max="16" width="12.57421875" style="3" hidden="1" customWidth="1"/>
    <col min="17" max="17" width="15.140625" style="3" customWidth="1"/>
    <col min="18" max="16384" width="9.140625" style="3" customWidth="1"/>
  </cols>
  <sheetData>
    <row r="1" spans="1:8" ht="49.5" customHeight="1">
      <c r="A1" s="257" t="s">
        <v>119</v>
      </c>
      <c r="B1" s="257"/>
      <c r="C1" s="257"/>
      <c r="D1" s="257"/>
      <c r="E1" s="257"/>
      <c r="F1" s="257"/>
      <c r="G1" s="257"/>
      <c r="H1" s="2"/>
    </row>
    <row r="3" spans="1:7" ht="20.25">
      <c r="A3" s="292" t="s">
        <v>25</v>
      </c>
      <c r="B3" s="292"/>
      <c r="C3" s="292"/>
      <c r="D3" s="292"/>
      <c r="E3" s="292"/>
      <c r="F3" s="292"/>
      <c r="G3" s="292"/>
    </row>
    <row r="5" spans="1:7" s="5" customFormat="1" ht="15">
      <c r="A5" s="4" t="s">
        <v>215</v>
      </c>
      <c r="D5" s="6"/>
      <c r="E5" s="6"/>
      <c r="F5" s="6"/>
      <c r="G5" s="6"/>
    </row>
    <row r="6" spans="1:8" ht="15.75" customHeight="1">
      <c r="A6" s="259" t="s">
        <v>26</v>
      </c>
      <c r="B6" s="261" t="s">
        <v>0</v>
      </c>
      <c r="C6" s="261" t="s">
        <v>117</v>
      </c>
      <c r="D6" s="263" t="s">
        <v>134</v>
      </c>
      <c r="E6" s="263" t="s">
        <v>137</v>
      </c>
      <c r="F6" s="263" t="s">
        <v>136</v>
      </c>
      <c r="G6" s="263" t="s">
        <v>50</v>
      </c>
      <c r="H6" s="263" t="s">
        <v>50</v>
      </c>
    </row>
    <row r="7" spans="1:8" ht="31.5" customHeight="1">
      <c r="A7" s="260"/>
      <c r="B7" s="262"/>
      <c r="C7" s="262"/>
      <c r="D7" s="264"/>
      <c r="E7" s="264"/>
      <c r="F7" s="264"/>
      <c r="G7" s="264"/>
      <c r="H7" s="264"/>
    </row>
    <row r="8" spans="1:8" s="64" customFormat="1" ht="12">
      <c r="A8" s="266">
        <v>1</v>
      </c>
      <c r="B8" s="266"/>
      <c r="C8" s="62">
        <v>2</v>
      </c>
      <c r="D8" s="63">
        <v>3</v>
      </c>
      <c r="E8" s="63">
        <v>4</v>
      </c>
      <c r="F8" s="63">
        <v>5</v>
      </c>
      <c r="G8" s="63" t="s">
        <v>51</v>
      </c>
      <c r="H8" s="63" t="s">
        <v>52</v>
      </c>
    </row>
    <row r="9" spans="1:8" ht="30">
      <c r="A9" s="151">
        <v>67</v>
      </c>
      <c r="B9" s="129" t="s">
        <v>29</v>
      </c>
      <c r="C9" s="127">
        <f>SUM(C10,C11)</f>
        <v>841361</v>
      </c>
      <c r="D9" s="127">
        <f>SUM(D10,D11)</f>
        <v>925620</v>
      </c>
      <c r="E9" s="127">
        <f>SUM(E10,E11)</f>
        <v>1181901</v>
      </c>
      <c r="F9" s="127">
        <f>SUM(F10,F11)</f>
        <v>1171367</v>
      </c>
      <c r="G9" s="127">
        <f>F9/C9*100</f>
        <v>139.22287817001265</v>
      </c>
      <c r="H9" s="150">
        <f>F9/E9*100</f>
        <v>99.10872399634148</v>
      </c>
    </row>
    <row r="10" spans="1:8" ht="30">
      <c r="A10" s="18">
        <v>6711</v>
      </c>
      <c r="B10" s="19" t="s">
        <v>30</v>
      </c>
      <c r="C10" s="70">
        <v>841361</v>
      </c>
      <c r="D10" s="70">
        <v>925620</v>
      </c>
      <c r="E10" s="70">
        <v>1181901</v>
      </c>
      <c r="F10" s="20">
        <v>1077050</v>
      </c>
      <c r="G10" s="51">
        <f>F10/C10*100</f>
        <v>128.01282683651846</v>
      </c>
      <c r="H10" s="54">
        <f>F10/E10*100</f>
        <v>91.12861398712752</v>
      </c>
    </row>
    <row r="11" spans="1:8" ht="45">
      <c r="A11" s="55">
        <v>6712</v>
      </c>
      <c r="B11" s="52" t="s">
        <v>31</v>
      </c>
      <c r="C11" s="70">
        <v>0</v>
      </c>
      <c r="D11" s="20">
        <v>0</v>
      </c>
      <c r="E11" s="20">
        <v>0</v>
      </c>
      <c r="F11" s="20">
        <v>94317</v>
      </c>
      <c r="G11" s="125">
        <v>0</v>
      </c>
      <c r="H11" s="126">
        <v>0</v>
      </c>
    </row>
    <row r="12" spans="1:8" ht="21.75" customHeight="1">
      <c r="A12" s="286" t="s">
        <v>221</v>
      </c>
      <c r="B12" s="286"/>
      <c r="C12" s="152">
        <f>C9</f>
        <v>841361</v>
      </c>
      <c r="D12" s="152">
        <f>D9</f>
        <v>925620</v>
      </c>
      <c r="E12" s="152">
        <f>E9</f>
        <v>1181901</v>
      </c>
      <c r="F12" s="152">
        <f>F9</f>
        <v>1171367</v>
      </c>
      <c r="G12" s="152">
        <f>F12/C12*100</f>
        <v>139.22287817001265</v>
      </c>
      <c r="H12" s="152">
        <f>F12/E12*100</f>
        <v>99.10872399634148</v>
      </c>
    </row>
    <row r="13" spans="1:8" s="217" customFormat="1" ht="21.75" customHeight="1">
      <c r="A13" s="216"/>
      <c r="B13" s="216"/>
      <c r="C13" s="15"/>
      <c r="D13" s="15"/>
      <c r="E13" s="15"/>
      <c r="F13" s="15"/>
      <c r="G13" s="15"/>
      <c r="H13" s="15"/>
    </row>
    <row r="14" spans="1:7" ht="15">
      <c r="A14" s="58"/>
      <c r="B14" s="58"/>
      <c r="C14" s="58"/>
      <c r="D14" s="10"/>
      <c r="E14" s="10"/>
      <c r="F14" s="10"/>
      <c r="G14" s="10"/>
    </row>
    <row r="15" spans="1:7" ht="15">
      <c r="A15" s="4" t="s">
        <v>174</v>
      </c>
      <c r="B15" s="5"/>
      <c r="C15" s="5"/>
      <c r="D15" s="6"/>
      <c r="E15" s="6"/>
      <c r="F15" s="6"/>
      <c r="G15" s="6"/>
    </row>
    <row r="16" spans="1:8" ht="15" customHeight="1">
      <c r="A16" s="259" t="s">
        <v>26</v>
      </c>
      <c r="B16" s="261" t="s">
        <v>0</v>
      </c>
      <c r="C16" s="261" t="s">
        <v>117</v>
      </c>
      <c r="D16" s="263" t="s">
        <v>134</v>
      </c>
      <c r="E16" s="263" t="s">
        <v>137</v>
      </c>
      <c r="F16" s="263" t="s">
        <v>136</v>
      </c>
      <c r="G16" s="263" t="s">
        <v>50</v>
      </c>
      <c r="H16" s="263" t="s">
        <v>50</v>
      </c>
    </row>
    <row r="17" spans="1:8" ht="30" customHeight="1">
      <c r="A17" s="260"/>
      <c r="B17" s="262"/>
      <c r="C17" s="262"/>
      <c r="D17" s="264"/>
      <c r="E17" s="264"/>
      <c r="F17" s="264"/>
      <c r="G17" s="264"/>
      <c r="H17" s="264"/>
    </row>
    <row r="18" spans="1:8" s="64" customFormat="1" ht="12">
      <c r="A18" s="290">
        <v>1</v>
      </c>
      <c r="B18" s="291"/>
      <c r="C18" s="62">
        <v>2</v>
      </c>
      <c r="D18" s="63">
        <v>3</v>
      </c>
      <c r="E18" s="63">
        <v>4</v>
      </c>
      <c r="F18" s="63">
        <v>5</v>
      </c>
      <c r="G18" s="63" t="s">
        <v>51</v>
      </c>
      <c r="H18" s="63" t="s">
        <v>52</v>
      </c>
    </row>
    <row r="19" spans="1:8" ht="30">
      <c r="A19" s="155">
        <v>636</v>
      </c>
      <c r="B19" s="156" t="s">
        <v>37</v>
      </c>
      <c r="C19" s="157">
        <f>SUM(C20:C21)</f>
        <v>6400986</v>
      </c>
      <c r="D19" s="157">
        <f>SUM(D20:D21)</f>
        <v>6410000</v>
      </c>
      <c r="E19" s="157">
        <f>SUM(E20:E21)</f>
        <v>6495200</v>
      </c>
      <c r="F19" s="157">
        <f>SUM(F20:F21)</f>
        <v>6861652</v>
      </c>
      <c r="G19" s="153">
        <f>F19/C19*100</f>
        <v>107.19679749338617</v>
      </c>
      <c r="H19" s="154">
        <f>F19/E19*100</f>
        <v>105.64188939524573</v>
      </c>
    </row>
    <row r="20" spans="1:8" ht="30">
      <c r="A20" s="121">
        <v>6361</v>
      </c>
      <c r="B20" s="61" t="s">
        <v>129</v>
      </c>
      <c r="C20" s="120">
        <v>6225530</v>
      </c>
      <c r="D20" s="21">
        <v>6250000</v>
      </c>
      <c r="E20" s="21">
        <v>6335200</v>
      </c>
      <c r="F20" s="21">
        <v>6698256</v>
      </c>
      <c r="G20" s="125">
        <f>F20/C20*100</f>
        <v>107.59334546616914</v>
      </c>
      <c r="H20" s="126">
        <f>F20/E20*100</f>
        <v>105.73077408763734</v>
      </c>
    </row>
    <row r="21" spans="1:8" ht="30">
      <c r="A21" s="121">
        <v>6362</v>
      </c>
      <c r="B21" s="61" t="s">
        <v>108</v>
      </c>
      <c r="C21" s="120">
        <v>175456</v>
      </c>
      <c r="D21" s="21">
        <v>160000</v>
      </c>
      <c r="E21" s="21">
        <v>160000</v>
      </c>
      <c r="F21" s="21">
        <v>163396</v>
      </c>
      <c r="G21" s="125">
        <f>F21/C21*100</f>
        <v>93.12648185300019</v>
      </c>
      <c r="H21" s="126">
        <f>F21/E21*100</f>
        <v>102.1225</v>
      </c>
    </row>
    <row r="22" spans="1:8" ht="15.75" customHeight="1">
      <c r="A22" s="273" t="s">
        <v>222</v>
      </c>
      <c r="B22" s="274"/>
      <c r="C22" s="152">
        <f>C19</f>
        <v>6400986</v>
      </c>
      <c r="D22" s="152">
        <f>D19</f>
        <v>6410000</v>
      </c>
      <c r="E22" s="152">
        <f>E19</f>
        <v>6495200</v>
      </c>
      <c r="F22" s="152">
        <f>F19</f>
        <v>6861652</v>
      </c>
      <c r="G22" s="152">
        <f>F22/C22*100</f>
        <v>107.19679749338617</v>
      </c>
      <c r="H22" s="152">
        <f>F22/E22*100</f>
        <v>105.64188939524573</v>
      </c>
    </row>
    <row r="23" spans="1:7" ht="15">
      <c r="A23" s="58"/>
      <c r="B23" s="58"/>
      <c r="C23" s="58"/>
      <c r="D23" s="10"/>
      <c r="E23" s="10"/>
      <c r="F23" s="10"/>
      <c r="G23" s="10"/>
    </row>
    <row r="24" spans="1:7" ht="15">
      <c r="A24" s="4" t="s">
        <v>216</v>
      </c>
      <c r="B24" s="5"/>
      <c r="C24" s="5"/>
      <c r="D24" s="6"/>
      <c r="E24" s="6"/>
      <c r="F24" s="6"/>
      <c r="G24" s="6"/>
    </row>
    <row r="25" spans="1:8" ht="15" customHeight="1">
      <c r="A25" s="259" t="s">
        <v>26</v>
      </c>
      <c r="B25" s="261" t="s">
        <v>0</v>
      </c>
      <c r="C25" s="261" t="s">
        <v>117</v>
      </c>
      <c r="D25" s="263" t="s">
        <v>134</v>
      </c>
      <c r="E25" s="263" t="s">
        <v>137</v>
      </c>
      <c r="F25" s="263" t="s">
        <v>136</v>
      </c>
      <c r="G25" s="263" t="s">
        <v>50</v>
      </c>
      <c r="H25" s="263" t="s">
        <v>50</v>
      </c>
    </row>
    <row r="26" spans="1:8" ht="37.5" customHeight="1">
      <c r="A26" s="260"/>
      <c r="B26" s="262"/>
      <c r="C26" s="262"/>
      <c r="D26" s="264"/>
      <c r="E26" s="264"/>
      <c r="F26" s="264"/>
      <c r="G26" s="264"/>
      <c r="H26" s="264"/>
    </row>
    <row r="27" spans="1:15" s="66" customFormat="1" ht="14.25">
      <c r="A27" s="266">
        <v>1</v>
      </c>
      <c r="B27" s="266"/>
      <c r="C27" s="62">
        <v>2</v>
      </c>
      <c r="D27" s="63">
        <v>3</v>
      </c>
      <c r="E27" s="63">
        <v>4</v>
      </c>
      <c r="F27" s="63">
        <v>5</v>
      </c>
      <c r="G27" s="63" t="s">
        <v>51</v>
      </c>
      <c r="H27" s="63" t="s">
        <v>52</v>
      </c>
      <c r="I27" s="77"/>
      <c r="J27" s="77"/>
      <c r="K27" s="59"/>
      <c r="L27" s="60"/>
      <c r="M27" s="60"/>
      <c r="N27" s="65" t="s">
        <v>1</v>
      </c>
      <c r="O27" s="65" t="s">
        <v>2</v>
      </c>
    </row>
    <row r="28" spans="1:15" s="13" customFormat="1" ht="15">
      <c r="A28" s="151">
        <v>641</v>
      </c>
      <c r="B28" s="129" t="s">
        <v>146</v>
      </c>
      <c r="C28" s="127">
        <f>C29</f>
        <v>13</v>
      </c>
      <c r="D28" s="127">
        <f>D29</f>
        <v>5</v>
      </c>
      <c r="E28" s="127">
        <f>E29</f>
        <v>5</v>
      </c>
      <c r="F28" s="127">
        <f>F29</f>
        <v>10</v>
      </c>
      <c r="G28" s="153">
        <f aca="true" t="shared" si="0" ref="G28:G34">F28/C28*100</f>
        <v>76.92307692307693</v>
      </c>
      <c r="H28" s="154">
        <f aca="true" t="shared" si="1" ref="H28:H34">F28/E28*100</f>
        <v>200</v>
      </c>
      <c r="I28" s="10"/>
      <c r="J28" s="10"/>
      <c r="K28" s="15"/>
      <c r="L28" s="15"/>
      <c r="M28" s="10"/>
      <c r="N28" s="14"/>
      <c r="O28" s="14"/>
    </row>
    <row r="29" spans="1:15" s="17" customFormat="1" ht="15">
      <c r="A29" s="55">
        <v>64132</v>
      </c>
      <c r="B29" s="52" t="s">
        <v>147</v>
      </c>
      <c r="C29" s="71">
        <v>13</v>
      </c>
      <c r="D29" s="53">
        <v>5</v>
      </c>
      <c r="E29" s="72">
        <v>5</v>
      </c>
      <c r="F29" s="53">
        <v>10</v>
      </c>
      <c r="G29" s="125">
        <f t="shared" si="0"/>
        <v>76.92307692307693</v>
      </c>
      <c r="H29" s="126">
        <f>F29/E29*100</f>
        <v>200</v>
      </c>
      <c r="I29" s="10"/>
      <c r="J29" s="10"/>
      <c r="K29" s="15"/>
      <c r="L29" s="15"/>
      <c r="M29" s="10"/>
      <c r="N29" s="16"/>
      <c r="O29" s="16"/>
    </row>
    <row r="30" spans="1:15" s="13" customFormat="1" ht="15">
      <c r="A30" s="151">
        <v>652</v>
      </c>
      <c r="B30" s="129" t="s">
        <v>34</v>
      </c>
      <c r="C30" s="127">
        <f>C31</f>
        <v>1050</v>
      </c>
      <c r="D30" s="127">
        <f>D31</f>
        <v>0</v>
      </c>
      <c r="E30" s="127">
        <f>E31</f>
        <v>0</v>
      </c>
      <c r="F30" s="127">
        <f>F31</f>
        <v>0</v>
      </c>
      <c r="G30" s="153">
        <f t="shared" si="0"/>
        <v>0</v>
      </c>
      <c r="H30" s="154">
        <v>0</v>
      </c>
      <c r="I30" s="10"/>
      <c r="J30" s="10"/>
      <c r="K30" s="15"/>
      <c r="L30" s="15"/>
      <c r="M30" s="10"/>
      <c r="N30" s="14"/>
      <c r="O30" s="14"/>
    </row>
    <row r="31" spans="1:15" s="17" customFormat="1" ht="30">
      <c r="A31" s="121">
        <v>65269</v>
      </c>
      <c r="B31" s="61" t="s">
        <v>109</v>
      </c>
      <c r="C31" s="120">
        <v>1050</v>
      </c>
      <c r="D31" s="120">
        <v>0</v>
      </c>
      <c r="E31" s="120">
        <v>0</v>
      </c>
      <c r="F31" s="120">
        <v>0</v>
      </c>
      <c r="G31" s="125">
        <f t="shared" si="0"/>
        <v>0</v>
      </c>
      <c r="H31" s="126">
        <v>0</v>
      </c>
      <c r="I31" s="10"/>
      <c r="J31" s="10"/>
      <c r="K31" s="15"/>
      <c r="L31" s="15"/>
      <c r="M31" s="10"/>
      <c r="N31" s="16"/>
      <c r="O31" s="16"/>
    </row>
    <row r="32" spans="1:15" s="13" customFormat="1" ht="15">
      <c r="A32" s="151">
        <v>661</v>
      </c>
      <c r="B32" s="129" t="s">
        <v>34</v>
      </c>
      <c r="C32" s="127">
        <f>C33</f>
        <v>18852</v>
      </c>
      <c r="D32" s="127">
        <f>D33</f>
        <v>42000</v>
      </c>
      <c r="E32" s="127">
        <f>E33</f>
        <v>42000</v>
      </c>
      <c r="F32" s="127">
        <f>F33</f>
        <v>3000</v>
      </c>
      <c r="G32" s="153">
        <f t="shared" si="0"/>
        <v>15.913430935709737</v>
      </c>
      <c r="H32" s="154">
        <f t="shared" si="1"/>
        <v>7.142857142857142</v>
      </c>
      <c r="I32" s="10"/>
      <c r="J32" s="10"/>
      <c r="K32" s="15"/>
      <c r="L32" s="15"/>
      <c r="M32" s="10"/>
      <c r="N32" s="14"/>
      <c r="O32" s="14"/>
    </row>
    <row r="33" spans="1:15" s="17" customFormat="1" ht="15">
      <c r="A33" s="55">
        <v>66151</v>
      </c>
      <c r="B33" s="52" t="s">
        <v>144</v>
      </c>
      <c r="C33" s="71">
        <v>18852</v>
      </c>
      <c r="D33" s="53">
        <v>42000</v>
      </c>
      <c r="E33" s="53">
        <v>42000</v>
      </c>
      <c r="F33" s="53">
        <v>3000</v>
      </c>
      <c r="G33" s="125">
        <f t="shared" si="0"/>
        <v>15.913430935709737</v>
      </c>
      <c r="H33" s="126">
        <f t="shared" si="1"/>
        <v>7.142857142857142</v>
      </c>
      <c r="I33" s="10"/>
      <c r="J33" s="10"/>
      <c r="K33" s="15"/>
      <c r="L33" s="15"/>
      <c r="M33" s="10"/>
      <c r="N33" s="16"/>
      <c r="O33" s="16"/>
    </row>
    <row r="34" spans="1:16" ht="14.25" customHeight="1">
      <c r="A34" s="273" t="s">
        <v>223</v>
      </c>
      <c r="B34" s="274"/>
      <c r="C34" s="152">
        <f>C32+C28+C30</f>
        <v>19915</v>
      </c>
      <c r="D34" s="152">
        <f>D32+D28+D30</f>
        <v>42005</v>
      </c>
      <c r="E34" s="152">
        <f>E32+E28+E30</f>
        <v>42005</v>
      </c>
      <c r="F34" s="152">
        <f>F32+F28+F30</f>
        <v>3010</v>
      </c>
      <c r="G34" s="152">
        <f t="shared" si="0"/>
        <v>15.114235500878733</v>
      </c>
      <c r="H34" s="152">
        <f t="shared" si="1"/>
        <v>7.1658135936198075</v>
      </c>
      <c r="I34" s="21"/>
      <c r="J34" s="21"/>
      <c r="K34" s="22"/>
      <c r="L34" s="22"/>
      <c r="M34" s="21"/>
      <c r="N34" s="3">
        <v>0</v>
      </c>
      <c r="O34" s="3">
        <v>0</v>
      </c>
      <c r="P34" s="17"/>
    </row>
    <row r="35" spans="1:16" ht="15">
      <c r="A35" s="58"/>
      <c r="B35" s="58"/>
      <c r="C35" s="58"/>
      <c r="D35" s="10"/>
      <c r="E35" s="10"/>
      <c r="F35" s="10"/>
      <c r="G35" s="10"/>
      <c r="I35" s="21"/>
      <c r="J35" s="21"/>
      <c r="K35" s="22"/>
      <c r="L35" s="22"/>
      <c r="M35" s="21"/>
      <c r="N35" s="3">
        <v>0</v>
      </c>
      <c r="O35" s="3">
        <v>0</v>
      </c>
      <c r="P35" s="17"/>
    </row>
    <row r="36" spans="1:8" ht="15">
      <c r="A36" s="85"/>
      <c r="B36" s="85"/>
      <c r="C36" s="10"/>
      <c r="D36" s="10"/>
      <c r="E36" s="10"/>
      <c r="F36" s="10"/>
      <c r="G36" s="125"/>
      <c r="H36" s="126"/>
    </row>
    <row r="37" spans="1:16" s="217" customFormat="1" ht="14.25" customHeight="1">
      <c r="A37" s="216"/>
      <c r="B37" s="216"/>
      <c r="C37" s="15"/>
      <c r="D37" s="15"/>
      <c r="E37" s="15"/>
      <c r="F37" s="15"/>
      <c r="G37" s="15"/>
      <c r="H37" s="15"/>
      <c r="I37" s="22"/>
      <c r="J37" s="22"/>
      <c r="K37" s="22"/>
      <c r="L37" s="22"/>
      <c r="M37" s="22"/>
      <c r="P37" s="218"/>
    </row>
    <row r="38" spans="1:16" s="217" customFormat="1" ht="14.25" customHeight="1">
      <c r="A38" s="216"/>
      <c r="B38" s="216"/>
      <c r="C38" s="15"/>
      <c r="D38" s="15"/>
      <c r="E38" s="15"/>
      <c r="F38" s="15"/>
      <c r="G38" s="15"/>
      <c r="H38" s="15"/>
      <c r="I38" s="22"/>
      <c r="J38" s="22"/>
      <c r="K38" s="22"/>
      <c r="L38" s="22"/>
      <c r="M38" s="22"/>
      <c r="P38" s="218"/>
    </row>
    <row r="39" spans="1:7" ht="15">
      <c r="A39" s="4" t="s">
        <v>217</v>
      </c>
      <c r="B39" s="5"/>
      <c r="C39" s="5"/>
      <c r="D39" s="6"/>
      <c r="E39" s="6"/>
      <c r="F39" s="6"/>
      <c r="G39" s="6"/>
    </row>
    <row r="40" spans="1:8" ht="15" customHeight="1">
      <c r="A40" s="259" t="s">
        <v>26</v>
      </c>
      <c r="B40" s="261" t="s">
        <v>0</v>
      </c>
      <c r="C40" s="261" t="s">
        <v>117</v>
      </c>
      <c r="D40" s="263" t="s">
        <v>134</v>
      </c>
      <c r="E40" s="263" t="s">
        <v>137</v>
      </c>
      <c r="F40" s="263" t="s">
        <v>136</v>
      </c>
      <c r="G40" s="263" t="s">
        <v>50</v>
      </c>
      <c r="H40" s="263" t="s">
        <v>50</v>
      </c>
    </row>
    <row r="41" spans="1:8" ht="37.5" customHeight="1">
      <c r="A41" s="260"/>
      <c r="B41" s="262"/>
      <c r="C41" s="262"/>
      <c r="D41" s="264"/>
      <c r="E41" s="264"/>
      <c r="F41" s="264"/>
      <c r="G41" s="264"/>
      <c r="H41" s="264"/>
    </row>
    <row r="42" spans="1:15" s="66" customFormat="1" ht="12">
      <c r="A42" s="266">
        <v>1</v>
      </c>
      <c r="B42" s="266"/>
      <c r="C42" s="62">
        <v>2</v>
      </c>
      <c r="D42" s="63">
        <v>3</v>
      </c>
      <c r="E42" s="63">
        <v>4</v>
      </c>
      <c r="F42" s="63">
        <v>5</v>
      </c>
      <c r="G42" s="63" t="s">
        <v>51</v>
      </c>
      <c r="H42" s="63" t="s">
        <v>52</v>
      </c>
      <c r="I42" s="276"/>
      <c r="J42" s="276"/>
      <c r="K42" s="277"/>
      <c r="L42" s="275"/>
      <c r="M42" s="275"/>
      <c r="N42" s="65" t="s">
        <v>1</v>
      </c>
      <c r="O42" s="65" t="s">
        <v>2</v>
      </c>
    </row>
    <row r="43" spans="1:15" s="13" customFormat="1" ht="15">
      <c r="A43" s="151">
        <v>652</v>
      </c>
      <c r="B43" s="129" t="s">
        <v>34</v>
      </c>
      <c r="C43" s="127">
        <f>C44</f>
        <v>48402</v>
      </c>
      <c r="D43" s="127">
        <f>D44</f>
        <v>130000</v>
      </c>
      <c r="E43" s="127">
        <f>E44</f>
        <v>130000</v>
      </c>
      <c r="F43" s="127">
        <f>F44</f>
        <v>89693</v>
      </c>
      <c r="G43" s="153">
        <f>F43/C43*100</f>
        <v>185.30845832816826</v>
      </c>
      <c r="H43" s="154">
        <f>F43/E43*100</f>
        <v>68.99461538461539</v>
      </c>
      <c r="I43" s="276"/>
      <c r="J43" s="276"/>
      <c r="K43" s="277"/>
      <c r="L43" s="275"/>
      <c r="M43" s="275"/>
      <c r="N43" s="14"/>
      <c r="O43" s="14"/>
    </row>
    <row r="44" spans="1:15" s="17" customFormat="1" ht="30">
      <c r="A44" s="121">
        <v>65269</v>
      </c>
      <c r="B44" s="61" t="s">
        <v>109</v>
      </c>
      <c r="C44" s="120">
        <v>48402</v>
      </c>
      <c r="D44" s="120">
        <v>130000</v>
      </c>
      <c r="E44" s="120">
        <v>130000</v>
      </c>
      <c r="F44" s="120">
        <v>89693</v>
      </c>
      <c r="G44" s="125">
        <f>F44/C44*100</f>
        <v>185.30845832816826</v>
      </c>
      <c r="H44" s="126">
        <f>F44/E44*100</f>
        <v>68.99461538461539</v>
      </c>
      <c r="I44" s="10"/>
      <c r="J44" s="10"/>
      <c r="K44" s="15"/>
      <c r="L44" s="15"/>
      <c r="M44" s="10"/>
      <c r="N44" s="16"/>
      <c r="O44" s="16"/>
    </row>
    <row r="45" spans="1:16" ht="14.25" customHeight="1">
      <c r="A45" s="273" t="s">
        <v>224</v>
      </c>
      <c r="B45" s="274"/>
      <c r="C45" s="152">
        <f>C43</f>
        <v>48402</v>
      </c>
      <c r="D45" s="152">
        <f>D43</f>
        <v>130000</v>
      </c>
      <c r="E45" s="152">
        <f>E43</f>
        <v>130000</v>
      </c>
      <c r="F45" s="152">
        <f>F43</f>
        <v>89693</v>
      </c>
      <c r="G45" s="152">
        <f>F45/C45*100</f>
        <v>185.30845832816826</v>
      </c>
      <c r="H45" s="152">
        <f>F45/E45*100</f>
        <v>68.99461538461539</v>
      </c>
      <c r="I45" s="21"/>
      <c r="J45" s="21"/>
      <c r="K45" s="22"/>
      <c r="L45" s="22"/>
      <c r="M45" s="21"/>
      <c r="N45" s="3">
        <v>0</v>
      </c>
      <c r="O45" s="3">
        <v>0</v>
      </c>
      <c r="P45" s="17"/>
    </row>
    <row r="46" spans="1:8" ht="15">
      <c r="A46" s="85"/>
      <c r="B46" s="85"/>
      <c r="C46" s="10"/>
      <c r="D46" s="10"/>
      <c r="E46" s="10"/>
      <c r="F46" s="10"/>
      <c r="G46" s="10"/>
      <c r="H46" s="197"/>
    </row>
    <row r="47" spans="1:8" ht="15">
      <c r="A47" s="85"/>
      <c r="B47" s="85"/>
      <c r="C47" s="10"/>
      <c r="D47" s="10"/>
      <c r="E47" s="10"/>
      <c r="F47" s="10"/>
      <c r="G47" s="10"/>
      <c r="H47" s="10"/>
    </row>
    <row r="48" spans="1:8" ht="15">
      <c r="A48" s="85"/>
      <c r="B48" s="85"/>
      <c r="C48" s="10"/>
      <c r="D48" s="10"/>
      <c r="E48" s="10"/>
      <c r="F48" s="10"/>
      <c r="G48" s="10"/>
      <c r="H48" s="10"/>
    </row>
    <row r="49" spans="1:7" ht="15">
      <c r="A49" s="4" t="s">
        <v>220</v>
      </c>
      <c r="B49" s="5"/>
      <c r="C49" s="5"/>
      <c r="D49" s="6"/>
      <c r="E49" s="6"/>
      <c r="F49" s="6"/>
      <c r="G49" s="6"/>
    </row>
    <row r="50" spans="1:8" ht="15">
      <c r="A50" s="259" t="s">
        <v>26</v>
      </c>
      <c r="B50" s="261" t="s">
        <v>0</v>
      </c>
      <c r="C50" s="261" t="s">
        <v>117</v>
      </c>
      <c r="D50" s="263" t="s">
        <v>134</v>
      </c>
      <c r="E50" s="263" t="s">
        <v>137</v>
      </c>
      <c r="F50" s="263" t="s">
        <v>136</v>
      </c>
      <c r="G50" s="263" t="s">
        <v>50</v>
      </c>
      <c r="H50" s="263" t="s">
        <v>50</v>
      </c>
    </row>
    <row r="51" spans="1:8" ht="15">
      <c r="A51" s="260"/>
      <c r="B51" s="262"/>
      <c r="C51" s="262"/>
      <c r="D51" s="264"/>
      <c r="E51" s="264"/>
      <c r="F51" s="264"/>
      <c r="G51" s="264"/>
      <c r="H51" s="264"/>
    </row>
    <row r="52" spans="1:8" ht="15" customHeight="1">
      <c r="A52" s="266">
        <v>1</v>
      </c>
      <c r="B52" s="266"/>
      <c r="C52" s="62">
        <v>2</v>
      </c>
      <c r="D52" s="63">
        <v>3</v>
      </c>
      <c r="E52" s="63">
        <v>4</v>
      </c>
      <c r="F52" s="63">
        <v>5</v>
      </c>
      <c r="G52" s="63" t="s">
        <v>51</v>
      </c>
      <c r="H52" s="63" t="s">
        <v>52</v>
      </c>
    </row>
    <row r="53" spans="1:15" s="17" customFormat="1" ht="15">
      <c r="A53" s="151">
        <v>636</v>
      </c>
      <c r="B53" s="129" t="s">
        <v>34</v>
      </c>
      <c r="C53" s="127">
        <f>C54</f>
        <v>4560</v>
      </c>
      <c r="D53" s="127">
        <f>D54</f>
        <v>1360</v>
      </c>
      <c r="E53" s="127">
        <f>E54</f>
        <v>1360</v>
      </c>
      <c r="F53" s="127">
        <f>F54</f>
        <v>0</v>
      </c>
      <c r="G53" s="153">
        <f>F53/C53*100</f>
        <v>0</v>
      </c>
      <c r="H53" s="154">
        <f>F53/E53*100</f>
        <v>0</v>
      </c>
      <c r="I53" s="10"/>
      <c r="J53" s="10"/>
      <c r="K53" s="15"/>
      <c r="L53" s="15"/>
      <c r="M53" s="10"/>
      <c r="N53" s="16"/>
      <c r="O53" s="16"/>
    </row>
    <row r="54" spans="1:15" s="17" customFormat="1" ht="30">
      <c r="A54" s="55">
        <v>63613</v>
      </c>
      <c r="B54" s="52" t="s">
        <v>149</v>
      </c>
      <c r="C54" s="71">
        <v>4560</v>
      </c>
      <c r="D54" s="53">
        <v>1360</v>
      </c>
      <c r="E54" s="53">
        <v>1360</v>
      </c>
      <c r="F54" s="53">
        <v>0</v>
      </c>
      <c r="G54" s="125">
        <f>F54/C54*100</f>
        <v>0</v>
      </c>
      <c r="H54" s="126">
        <f>F54/E54*100</f>
        <v>0</v>
      </c>
      <c r="I54" s="10"/>
      <c r="J54" s="10"/>
      <c r="K54" s="15"/>
      <c r="L54" s="15"/>
      <c r="M54" s="10"/>
      <c r="N54" s="16"/>
      <c r="O54" s="16"/>
    </row>
    <row r="55" spans="1:15" s="13" customFormat="1" ht="15">
      <c r="A55" s="273" t="s">
        <v>225</v>
      </c>
      <c r="B55" s="274"/>
      <c r="C55" s="152">
        <f aca="true" t="shared" si="2" ref="C55:H55">C53</f>
        <v>4560</v>
      </c>
      <c r="D55" s="152">
        <f t="shared" si="2"/>
        <v>1360</v>
      </c>
      <c r="E55" s="152">
        <f t="shared" si="2"/>
        <v>1360</v>
      </c>
      <c r="F55" s="152">
        <f t="shared" si="2"/>
        <v>0</v>
      </c>
      <c r="G55" s="152">
        <f t="shared" si="2"/>
        <v>0</v>
      </c>
      <c r="H55" s="152">
        <f t="shared" si="2"/>
        <v>0</v>
      </c>
      <c r="I55" s="77"/>
      <c r="J55" s="77"/>
      <c r="K55" s="59"/>
      <c r="L55" s="60"/>
      <c r="M55" s="60"/>
      <c r="N55" s="14"/>
      <c r="O55" s="14"/>
    </row>
    <row r="56" spans="1:15" s="17" customFormat="1" ht="15">
      <c r="A56" s="85"/>
      <c r="B56" s="85"/>
      <c r="C56" s="10"/>
      <c r="D56" s="10"/>
      <c r="E56" s="10"/>
      <c r="F56" s="10"/>
      <c r="G56" s="10"/>
      <c r="H56" s="10"/>
      <c r="I56" s="10"/>
      <c r="J56" s="10"/>
      <c r="K56" s="15"/>
      <c r="L56" s="15"/>
      <c r="M56" s="10"/>
      <c r="N56" s="16"/>
      <c r="O56" s="16"/>
    </row>
    <row r="57" spans="1:16" ht="14.25" customHeight="1">
      <c r="A57" s="85"/>
      <c r="B57" s="85"/>
      <c r="C57" s="10"/>
      <c r="D57" s="10"/>
      <c r="E57" s="10"/>
      <c r="F57" s="10"/>
      <c r="G57" s="10"/>
      <c r="H57" s="10"/>
      <c r="I57" s="21"/>
      <c r="J57" s="21"/>
      <c r="K57" s="22"/>
      <c r="L57" s="22"/>
      <c r="M57" s="21"/>
      <c r="N57" s="3">
        <v>0</v>
      </c>
      <c r="O57" s="3">
        <v>0</v>
      </c>
      <c r="P57" s="17"/>
    </row>
    <row r="58" spans="1:16" ht="14.25" customHeight="1">
      <c r="A58" s="85"/>
      <c r="B58" s="85"/>
      <c r="C58" s="10"/>
      <c r="D58" s="10"/>
      <c r="E58" s="10"/>
      <c r="F58" s="10"/>
      <c r="G58" s="10"/>
      <c r="H58" s="10"/>
      <c r="I58" s="21"/>
      <c r="J58" s="21"/>
      <c r="K58" s="22"/>
      <c r="L58" s="22"/>
      <c r="M58" s="21"/>
      <c r="P58" s="17"/>
    </row>
    <row r="59" spans="1:7" ht="15">
      <c r="A59" s="4" t="s">
        <v>219</v>
      </c>
      <c r="B59" s="5"/>
      <c r="C59" s="5"/>
      <c r="D59" s="6"/>
      <c r="E59" s="6"/>
      <c r="F59" s="6"/>
      <c r="G59" s="6"/>
    </row>
    <row r="60" spans="1:8" ht="15">
      <c r="A60" s="259" t="s">
        <v>26</v>
      </c>
      <c r="B60" s="261" t="s">
        <v>0</v>
      </c>
      <c r="C60" s="261" t="s">
        <v>117</v>
      </c>
      <c r="D60" s="263" t="s">
        <v>134</v>
      </c>
      <c r="E60" s="263" t="s">
        <v>137</v>
      </c>
      <c r="F60" s="263" t="s">
        <v>136</v>
      </c>
      <c r="G60" s="263" t="s">
        <v>50</v>
      </c>
      <c r="H60" s="263" t="s">
        <v>50</v>
      </c>
    </row>
    <row r="61" spans="1:8" ht="15">
      <c r="A61" s="260"/>
      <c r="B61" s="262"/>
      <c r="C61" s="262"/>
      <c r="D61" s="264"/>
      <c r="E61" s="264"/>
      <c r="F61" s="264"/>
      <c r="G61" s="264"/>
      <c r="H61" s="264"/>
    </row>
    <row r="62" spans="1:8" ht="15" customHeight="1">
      <c r="A62" s="266">
        <v>1</v>
      </c>
      <c r="B62" s="266"/>
      <c r="C62" s="62">
        <v>2</v>
      </c>
      <c r="D62" s="63">
        <v>3</v>
      </c>
      <c r="E62" s="63">
        <v>4</v>
      </c>
      <c r="F62" s="63">
        <v>5</v>
      </c>
      <c r="G62" s="63" t="s">
        <v>51</v>
      </c>
      <c r="H62" s="63" t="s">
        <v>52</v>
      </c>
    </row>
    <row r="63" spans="1:8" ht="37.5" customHeight="1">
      <c r="A63" s="151">
        <v>634</v>
      </c>
      <c r="B63" s="129" t="s">
        <v>34</v>
      </c>
      <c r="C63" s="127">
        <f>C65+C64</f>
        <v>3700</v>
      </c>
      <c r="D63" s="127">
        <f>D65+D64</f>
        <v>2000</v>
      </c>
      <c r="E63" s="127">
        <f>E65+E64</f>
        <v>2000</v>
      </c>
      <c r="F63" s="127">
        <f>F65+F64</f>
        <v>2000</v>
      </c>
      <c r="G63" s="153">
        <f>F63/C63*100</f>
        <v>54.054054054054056</v>
      </c>
      <c r="H63" s="154">
        <f>F63/E63*100</f>
        <v>100</v>
      </c>
    </row>
    <row r="64" spans="1:15" s="66" customFormat="1" ht="12" customHeight="1">
      <c r="A64" s="55">
        <v>63414</v>
      </c>
      <c r="B64" s="52" t="s">
        <v>150</v>
      </c>
      <c r="C64" s="71">
        <v>0</v>
      </c>
      <c r="D64" s="53">
        <v>2000</v>
      </c>
      <c r="E64" s="53">
        <v>2000</v>
      </c>
      <c r="F64" s="53">
        <v>0</v>
      </c>
      <c r="G64" s="125">
        <v>0</v>
      </c>
      <c r="H64" s="126">
        <f>F64/E64*100</f>
        <v>0</v>
      </c>
      <c r="I64" s="77"/>
      <c r="J64" s="77"/>
      <c r="K64" s="59"/>
      <c r="L64" s="60"/>
      <c r="M64" s="60"/>
      <c r="N64" s="65" t="s">
        <v>1</v>
      </c>
      <c r="O64" s="65" t="s">
        <v>2</v>
      </c>
    </row>
    <row r="65" spans="1:15" s="13" customFormat="1" ht="30">
      <c r="A65" s="55">
        <v>63415</v>
      </c>
      <c r="B65" s="52" t="s">
        <v>145</v>
      </c>
      <c r="C65" s="71">
        <v>3700</v>
      </c>
      <c r="D65" s="53">
        <v>0</v>
      </c>
      <c r="E65" s="53">
        <v>0</v>
      </c>
      <c r="F65" s="53">
        <v>2000</v>
      </c>
      <c r="G65" s="125">
        <f>F65/C65*100</f>
        <v>54.054054054054056</v>
      </c>
      <c r="H65" s="126"/>
      <c r="I65" s="77"/>
      <c r="J65" s="77"/>
      <c r="K65" s="59"/>
      <c r="L65" s="60"/>
      <c r="M65" s="60"/>
      <c r="N65" s="14"/>
      <c r="O65" s="14"/>
    </row>
    <row r="66" spans="1:8" ht="15">
      <c r="A66" s="273" t="s">
        <v>226</v>
      </c>
      <c r="B66" s="274"/>
      <c r="C66" s="152">
        <f aca="true" t="shared" si="3" ref="C66:H66">C63</f>
        <v>3700</v>
      </c>
      <c r="D66" s="152">
        <f t="shared" si="3"/>
        <v>2000</v>
      </c>
      <c r="E66" s="152">
        <f t="shared" si="3"/>
        <v>2000</v>
      </c>
      <c r="F66" s="152">
        <f t="shared" si="3"/>
        <v>2000</v>
      </c>
      <c r="G66" s="152">
        <f t="shared" si="3"/>
        <v>54.054054054054056</v>
      </c>
      <c r="H66" s="152">
        <f t="shared" si="3"/>
        <v>100</v>
      </c>
    </row>
    <row r="67" spans="1:8" ht="15">
      <c r="A67" s="85"/>
      <c r="B67" s="85"/>
      <c r="C67" s="10"/>
      <c r="D67" s="10"/>
      <c r="E67" s="10"/>
      <c r="F67" s="10"/>
      <c r="G67" s="10"/>
      <c r="H67" s="10"/>
    </row>
    <row r="68" spans="1:8" ht="15">
      <c r="A68" s="85"/>
      <c r="B68" s="85"/>
      <c r="C68" s="10"/>
      <c r="D68" s="10">
        <f>SUM(D66+D45+D34+D75)</f>
        <v>339005</v>
      </c>
      <c r="E68" s="10"/>
      <c r="F68" s="10"/>
      <c r="G68" s="10"/>
      <c r="H68" s="10"/>
    </row>
    <row r="69" spans="1:7" ht="15">
      <c r="A69" s="4" t="s">
        <v>218</v>
      </c>
      <c r="B69" s="5"/>
      <c r="C69" s="5"/>
      <c r="D69" s="6"/>
      <c r="E69" s="6"/>
      <c r="F69" s="6"/>
      <c r="G69" s="6"/>
    </row>
    <row r="70" spans="1:8" ht="15">
      <c r="A70" s="259" t="s">
        <v>26</v>
      </c>
      <c r="B70" s="261" t="s">
        <v>0</v>
      </c>
      <c r="C70" s="261" t="s">
        <v>117</v>
      </c>
      <c r="D70" s="263" t="s">
        <v>134</v>
      </c>
      <c r="E70" s="263" t="s">
        <v>137</v>
      </c>
      <c r="F70" s="263" t="s">
        <v>136</v>
      </c>
      <c r="G70" s="263" t="s">
        <v>50</v>
      </c>
      <c r="H70" s="263" t="s">
        <v>50</v>
      </c>
    </row>
    <row r="71" spans="1:8" ht="15">
      <c r="A71" s="260"/>
      <c r="B71" s="262"/>
      <c r="C71" s="262"/>
      <c r="D71" s="264"/>
      <c r="E71" s="264"/>
      <c r="F71" s="264"/>
      <c r="G71" s="264"/>
      <c r="H71" s="264"/>
    </row>
    <row r="72" spans="1:8" ht="15">
      <c r="A72" s="266">
        <v>1</v>
      </c>
      <c r="B72" s="266"/>
      <c r="C72" s="62">
        <v>2</v>
      </c>
      <c r="D72" s="63">
        <v>3</v>
      </c>
      <c r="E72" s="63">
        <v>4</v>
      </c>
      <c r="F72" s="63">
        <v>5</v>
      </c>
      <c r="G72" s="63" t="s">
        <v>51</v>
      </c>
      <c r="H72" s="63" t="s">
        <v>52</v>
      </c>
    </row>
    <row r="73" spans="1:8" ht="15">
      <c r="A73" s="151">
        <v>638</v>
      </c>
      <c r="B73" s="129" t="s">
        <v>34</v>
      </c>
      <c r="C73" s="127">
        <f>C74</f>
        <v>166050</v>
      </c>
      <c r="D73" s="127">
        <f>D74</f>
        <v>165000</v>
      </c>
      <c r="E73" s="127">
        <f>E74</f>
        <v>165000</v>
      </c>
      <c r="F73" s="127">
        <f>F74</f>
        <v>0</v>
      </c>
      <c r="G73" s="153">
        <f>F73/C73*100</f>
        <v>0</v>
      </c>
      <c r="H73" s="154">
        <f>F73/E73*100</f>
        <v>0</v>
      </c>
    </row>
    <row r="74" spans="1:8" ht="30">
      <c r="A74" s="55">
        <v>63811</v>
      </c>
      <c r="B74" s="52" t="s">
        <v>148</v>
      </c>
      <c r="C74" s="71">
        <v>166050</v>
      </c>
      <c r="D74" s="53">
        <v>165000</v>
      </c>
      <c r="E74" s="53">
        <v>165000</v>
      </c>
      <c r="F74" s="53">
        <v>0</v>
      </c>
      <c r="G74" s="125">
        <f>F74/C74*100</f>
        <v>0</v>
      </c>
      <c r="H74" s="126">
        <f>F74/E74*100</f>
        <v>0</v>
      </c>
    </row>
    <row r="75" spans="1:8" ht="15">
      <c r="A75" s="273" t="s">
        <v>227</v>
      </c>
      <c r="B75" s="274"/>
      <c r="C75" s="152">
        <f>C73</f>
        <v>166050</v>
      </c>
      <c r="D75" s="152">
        <f>D73</f>
        <v>165000</v>
      </c>
      <c r="E75" s="152">
        <f>E73</f>
        <v>165000</v>
      </c>
      <c r="F75" s="152">
        <f>F73</f>
        <v>0</v>
      </c>
      <c r="G75" s="152">
        <f>F75/C75*100</f>
        <v>0</v>
      </c>
      <c r="H75" s="152">
        <f>F75/E75*100</f>
        <v>0</v>
      </c>
    </row>
    <row r="76" spans="1:8" ht="15">
      <c r="A76" s="198"/>
      <c r="B76" s="199"/>
      <c r="C76" s="200"/>
      <c r="D76" s="200"/>
      <c r="E76" s="200"/>
      <c r="F76" s="200"/>
      <c r="G76" s="125"/>
      <c r="H76" s="126"/>
    </row>
    <row r="77" spans="1:7" ht="15">
      <c r="A77" s="4" t="s">
        <v>228</v>
      </c>
      <c r="B77" s="5"/>
      <c r="C77" s="5"/>
      <c r="D77" s="6"/>
      <c r="E77" s="6"/>
      <c r="F77" s="6"/>
      <c r="G77" s="6"/>
    </row>
    <row r="78" spans="1:8" ht="15">
      <c r="A78" s="259" t="s">
        <v>26</v>
      </c>
      <c r="B78" s="261" t="s">
        <v>0</v>
      </c>
      <c r="C78" s="261" t="s">
        <v>117</v>
      </c>
      <c r="D78" s="263" t="s">
        <v>134</v>
      </c>
      <c r="E78" s="263" t="s">
        <v>137</v>
      </c>
      <c r="F78" s="263" t="s">
        <v>136</v>
      </c>
      <c r="G78" s="263" t="s">
        <v>50</v>
      </c>
      <c r="H78" s="263" t="s">
        <v>50</v>
      </c>
    </row>
    <row r="79" spans="1:8" ht="15">
      <c r="A79" s="260"/>
      <c r="B79" s="262"/>
      <c r="C79" s="262"/>
      <c r="D79" s="264"/>
      <c r="E79" s="264"/>
      <c r="F79" s="264"/>
      <c r="G79" s="264"/>
      <c r="H79" s="264"/>
    </row>
    <row r="80" spans="1:8" ht="15">
      <c r="A80" s="266">
        <v>1</v>
      </c>
      <c r="B80" s="266"/>
      <c r="C80" s="62">
        <v>2</v>
      </c>
      <c r="D80" s="63">
        <v>3</v>
      </c>
      <c r="E80" s="63">
        <v>4</v>
      </c>
      <c r="F80" s="63">
        <v>5</v>
      </c>
      <c r="G80" s="63" t="s">
        <v>51</v>
      </c>
      <c r="H80" s="63" t="s">
        <v>52</v>
      </c>
    </row>
    <row r="81" spans="1:8" ht="15">
      <c r="A81" s="151">
        <v>652</v>
      </c>
      <c r="B81" s="129" t="s">
        <v>34</v>
      </c>
      <c r="C81" s="127">
        <f>C82</f>
        <v>626</v>
      </c>
      <c r="D81" s="127">
        <f>D82</f>
        <v>0</v>
      </c>
      <c r="E81" s="127">
        <f>E82</f>
        <v>0</v>
      </c>
      <c r="F81" s="127">
        <f>F82</f>
        <v>2081</v>
      </c>
      <c r="G81" s="153">
        <f>F81/C81*100</f>
        <v>332.4281150159744</v>
      </c>
      <c r="H81" s="154"/>
    </row>
    <row r="82" spans="1:8" ht="15">
      <c r="A82" s="55">
        <v>65269</v>
      </c>
      <c r="B82" s="52" t="s">
        <v>143</v>
      </c>
      <c r="C82" s="71">
        <f>478+148</f>
        <v>626</v>
      </c>
      <c r="D82" s="53">
        <v>0</v>
      </c>
      <c r="E82" s="53">
        <v>0</v>
      </c>
      <c r="F82" s="53">
        <f>1871+210</f>
        <v>2081</v>
      </c>
      <c r="G82" s="125">
        <f>F82/C82*100</f>
        <v>332.4281150159744</v>
      </c>
      <c r="H82" s="126"/>
    </row>
    <row r="83" spans="1:8" ht="15">
      <c r="A83" s="273" t="s">
        <v>226</v>
      </c>
      <c r="B83" s="274"/>
      <c r="C83" s="152">
        <f aca="true" t="shared" si="4" ref="C83:H83">C81</f>
        <v>626</v>
      </c>
      <c r="D83" s="152">
        <f t="shared" si="4"/>
        <v>0</v>
      </c>
      <c r="E83" s="152">
        <f t="shared" si="4"/>
        <v>0</v>
      </c>
      <c r="F83" s="152">
        <f t="shared" si="4"/>
        <v>2081</v>
      </c>
      <c r="G83" s="152">
        <f t="shared" si="4"/>
        <v>332.4281150159744</v>
      </c>
      <c r="H83" s="152">
        <f t="shared" si="4"/>
        <v>0</v>
      </c>
    </row>
    <row r="84" spans="1:8" ht="15">
      <c r="A84" s="241"/>
      <c r="B84" s="85"/>
      <c r="C84" s="86"/>
      <c r="D84" s="86"/>
      <c r="E84" s="86"/>
      <c r="F84" s="86"/>
      <c r="G84" s="10"/>
      <c r="H84" s="197"/>
    </row>
    <row r="85" spans="1:8" ht="15">
      <c r="A85" s="241"/>
      <c r="B85" s="85"/>
      <c r="C85" s="86"/>
      <c r="D85" s="86"/>
      <c r="E85" s="86"/>
      <c r="F85" s="86"/>
      <c r="G85" s="10"/>
      <c r="H85" s="197"/>
    </row>
    <row r="86" spans="1:8" ht="15">
      <c r="A86" s="241"/>
      <c r="B86" s="85"/>
      <c r="C86" s="86"/>
      <c r="D86" s="86"/>
      <c r="E86" s="86"/>
      <c r="F86" s="86"/>
      <c r="G86" s="10"/>
      <c r="H86" s="197"/>
    </row>
    <row r="87" spans="1:8" ht="15">
      <c r="A87" s="241"/>
      <c r="B87" s="85"/>
      <c r="C87" s="86"/>
      <c r="D87" s="86"/>
      <c r="E87" s="86"/>
      <c r="F87" s="86"/>
      <c r="G87" s="10"/>
      <c r="H87" s="197"/>
    </row>
    <row r="88" spans="1:8" ht="19.5">
      <c r="A88" s="287" t="s">
        <v>87</v>
      </c>
      <c r="B88" s="287"/>
      <c r="C88" s="255">
        <f aca="true" t="shared" si="5" ref="C88:H88">SUM(C12,C22,C34,C66,C45,C75+C83+C55)</f>
        <v>7485600</v>
      </c>
      <c r="D88" s="255">
        <f t="shared" si="5"/>
        <v>7675985</v>
      </c>
      <c r="E88" s="255">
        <f t="shared" si="5"/>
        <v>8017466</v>
      </c>
      <c r="F88" s="255">
        <f t="shared" si="5"/>
        <v>8129803</v>
      </c>
      <c r="G88" s="255">
        <f t="shared" si="5"/>
        <v>833.3245385624743</v>
      </c>
      <c r="H88" s="255">
        <f t="shared" si="5"/>
        <v>380.9110423698224</v>
      </c>
    </row>
    <row r="89" spans="1:8" ht="15">
      <c r="A89" s="9"/>
      <c r="B89" s="9"/>
      <c r="C89" s="86"/>
      <c r="D89" s="86"/>
      <c r="E89" s="86"/>
      <c r="F89" s="86"/>
      <c r="G89" s="10"/>
      <c r="H89" s="10"/>
    </row>
    <row r="90" spans="1:8" ht="15">
      <c r="A90" s="9"/>
      <c r="B90" s="9"/>
      <c r="C90" s="86"/>
      <c r="D90" s="86"/>
      <c r="E90" s="86"/>
      <c r="F90" s="86"/>
      <c r="G90" s="10"/>
      <c r="H90" s="10"/>
    </row>
    <row r="91" spans="1:8" ht="15.75" customHeight="1">
      <c r="A91" s="9"/>
      <c r="B91" s="9"/>
      <c r="C91" s="86"/>
      <c r="D91" s="86"/>
      <c r="E91" s="86"/>
      <c r="F91" s="86"/>
      <c r="G91" s="10"/>
      <c r="H91" s="10"/>
    </row>
    <row r="92" spans="1:16" s="11" customFormat="1" ht="15">
      <c r="A92" s="9"/>
      <c r="B92" s="9"/>
      <c r="C92" s="86"/>
      <c r="D92" s="86"/>
      <c r="E92" s="86"/>
      <c r="F92" s="86"/>
      <c r="G92" s="10"/>
      <c r="H92" s="10"/>
      <c r="I92" s="10"/>
      <c r="J92" s="10"/>
      <c r="K92" s="10"/>
      <c r="L92" s="10"/>
      <c r="M92" s="10"/>
      <c r="P92" s="17"/>
    </row>
    <row r="93" spans="1:8" ht="13.5" customHeight="1">
      <c r="A93" s="9"/>
      <c r="B93" s="9"/>
      <c r="C93" s="86"/>
      <c r="D93" s="86"/>
      <c r="E93" s="86"/>
      <c r="F93" s="86"/>
      <c r="G93" s="10"/>
      <c r="H93" s="10"/>
    </row>
    <row r="94" spans="1:8" ht="30.75" customHeight="1">
      <c r="A94" s="9"/>
      <c r="B94" s="9"/>
      <c r="C94" s="86"/>
      <c r="D94" s="86"/>
      <c r="E94" s="86"/>
      <c r="F94" s="86"/>
      <c r="G94" s="10"/>
      <c r="H94" s="10"/>
    </row>
    <row r="95" spans="1:8" s="64" customFormat="1" ht="15">
      <c r="A95" s="9"/>
      <c r="B95" s="9"/>
      <c r="C95" s="86"/>
      <c r="D95" s="86"/>
      <c r="E95" s="86"/>
      <c r="F95" s="86"/>
      <c r="G95" s="10"/>
      <c r="H95" s="10"/>
    </row>
    <row r="96" spans="1:15" s="13" customFormat="1" ht="15">
      <c r="A96" s="9"/>
      <c r="B96" s="9"/>
      <c r="C96" s="86"/>
      <c r="D96" s="86"/>
      <c r="E96" s="86"/>
      <c r="F96" s="86"/>
      <c r="G96" s="10"/>
      <c r="H96" s="10"/>
      <c r="I96" s="10"/>
      <c r="J96" s="10"/>
      <c r="K96" s="15"/>
      <c r="L96" s="15"/>
      <c r="M96" s="10"/>
      <c r="N96" s="14"/>
      <c r="O96" s="14"/>
    </row>
    <row r="97" spans="1:15" s="17" customFormat="1" ht="15">
      <c r="A97" s="9"/>
      <c r="B97" s="9"/>
      <c r="C97" s="86"/>
      <c r="D97" s="86"/>
      <c r="E97" s="86"/>
      <c r="F97" s="86"/>
      <c r="G97" s="10"/>
      <c r="H97" s="10"/>
      <c r="I97" s="10"/>
      <c r="J97" s="10"/>
      <c r="K97" s="15"/>
      <c r="L97" s="15"/>
      <c r="M97" s="10"/>
      <c r="N97" s="16"/>
      <c r="O97" s="16"/>
    </row>
    <row r="98" spans="1:16" s="11" customFormat="1" ht="24.75" customHeight="1">
      <c r="A98" s="9"/>
      <c r="B98" s="9"/>
      <c r="C98" s="86"/>
      <c r="D98" s="86"/>
      <c r="E98" s="86"/>
      <c r="F98" s="86"/>
      <c r="G98" s="10"/>
      <c r="H98" s="10"/>
      <c r="I98" s="10"/>
      <c r="J98" s="10"/>
      <c r="K98" s="10"/>
      <c r="L98" s="10"/>
      <c r="M98" s="10"/>
      <c r="P98" s="17"/>
    </row>
    <row r="99" spans="1:16" s="11" customFormat="1" ht="15.75" customHeight="1">
      <c r="A99" s="298" t="s">
        <v>128</v>
      </c>
      <c r="B99" s="298"/>
      <c r="C99" s="298"/>
      <c r="D99" s="298"/>
      <c r="E99" s="298"/>
      <c r="F99" s="298"/>
      <c r="G99" s="298"/>
      <c r="H99" s="298"/>
      <c r="I99" s="10"/>
      <c r="J99" s="10"/>
      <c r="K99" s="10"/>
      <c r="L99" s="10"/>
      <c r="M99" s="10"/>
      <c r="P99" s="17"/>
    </row>
    <row r="100" spans="1:16" s="11" customFormat="1" ht="18.75">
      <c r="A100" s="201"/>
      <c r="B100" s="201"/>
      <c r="C100" s="201"/>
      <c r="D100" s="201"/>
      <c r="E100" s="201"/>
      <c r="F100" s="201"/>
      <c r="G100" s="201"/>
      <c r="H100" s="201"/>
      <c r="I100" s="10"/>
      <c r="J100" s="10"/>
      <c r="K100" s="10"/>
      <c r="L100" s="10"/>
      <c r="M100" s="10"/>
      <c r="P100" s="17"/>
    </row>
    <row r="101" spans="1:16" s="11" customFormat="1" ht="14.25" customHeight="1">
      <c r="A101" s="259" t="s">
        <v>26</v>
      </c>
      <c r="B101" s="261" t="s">
        <v>0</v>
      </c>
      <c r="C101" s="261" t="s">
        <v>117</v>
      </c>
      <c r="D101" s="263" t="s">
        <v>134</v>
      </c>
      <c r="E101" s="263" t="s">
        <v>137</v>
      </c>
      <c r="F101" s="263" t="s">
        <v>136</v>
      </c>
      <c r="G101" s="263" t="s">
        <v>50</v>
      </c>
      <c r="H101" s="263" t="s">
        <v>50</v>
      </c>
      <c r="I101" s="10"/>
      <c r="J101" s="10"/>
      <c r="K101" s="10"/>
      <c r="L101" s="10"/>
      <c r="M101" s="10"/>
      <c r="P101" s="17"/>
    </row>
    <row r="102" spans="1:16" s="11" customFormat="1" ht="30" customHeight="1">
      <c r="A102" s="260"/>
      <c r="B102" s="262"/>
      <c r="C102" s="262"/>
      <c r="D102" s="264"/>
      <c r="E102" s="264"/>
      <c r="F102" s="264"/>
      <c r="G102" s="264"/>
      <c r="H102" s="264"/>
      <c r="I102" s="10"/>
      <c r="J102" s="10"/>
      <c r="K102" s="10"/>
      <c r="L102" s="10"/>
      <c r="M102" s="10"/>
      <c r="P102" s="17"/>
    </row>
    <row r="103" spans="1:16" s="68" customFormat="1" ht="12">
      <c r="A103" s="266">
        <v>1</v>
      </c>
      <c r="B103" s="266"/>
      <c r="C103" s="62">
        <v>2</v>
      </c>
      <c r="D103" s="63">
        <v>3</v>
      </c>
      <c r="E103" s="63">
        <v>4</v>
      </c>
      <c r="F103" s="63">
        <v>5</v>
      </c>
      <c r="G103" s="63" t="s">
        <v>51</v>
      </c>
      <c r="H103" s="63" t="s">
        <v>52</v>
      </c>
      <c r="I103" s="67"/>
      <c r="J103" s="67"/>
      <c r="K103" s="67"/>
      <c r="L103" s="67"/>
      <c r="M103" s="67"/>
      <c r="P103" s="69"/>
    </row>
    <row r="104" spans="1:15" s="13" customFormat="1" ht="15">
      <c r="A104" s="202">
        <v>1</v>
      </c>
      <c r="B104" s="203" t="s">
        <v>207</v>
      </c>
      <c r="C104" s="204">
        <f>C12</f>
        <v>841361</v>
      </c>
      <c r="D104" s="204">
        <f>D12</f>
        <v>925620</v>
      </c>
      <c r="E104" s="204">
        <f>E12</f>
        <v>1181901</v>
      </c>
      <c r="F104" s="204">
        <f>F12</f>
        <v>1171367</v>
      </c>
      <c r="G104" s="125">
        <f aca="true" t="shared" si="6" ref="G104:G111">F104/C104*100</f>
        <v>139.22287817001265</v>
      </c>
      <c r="H104" s="126">
        <f aca="true" t="shared" si="7" ref="H104:H111">F104/E104*100</f>
        <v>99.10872399634148</v>
      </c>
      <c r="I104" s="10"/>
      <c r="J104" s="10"/>
      <c r="K104" s="15"/>
      <c r="L104" s="15"/>
      <c r="M104" s="10"/>
      <c r="N104" s="14"/>
      <c r="O104" s="14"/>
    </row>
    <row r="105" spans="1:15" s="17" customFormat="1" ht="15">
      <c r="A105" s="106" t="s">
        <v>212</v>
      </c>
      <c r="B105" s="100" t="s">
        <v>211</v>
      </c>
      <c r="C105" s="101">
        <f>C22</f>
        <v>6400986</v>
      </c>
      <c r="D105" s="101">
        <f>D22</f>
        <v>6410000</v>
      </c>
      <c r="E105" s="101">
        <f>E22</f>
        <v>6495200</v>
      </c>
      <c r="F105" s="101">
        <f>F22</f>
        <v>6861652</v>
      </c>
      <c r="G105" s="125">
        <f t="shared" si="6"/>
        <v>107.19679749338617</v>
      </c>
      <c r="H105" s="126">
        <f t="shared" si="7"/>
        <v>105.64188939524573</v>
      </c>
      <c r="I105" s="10"/>
      <c r="J105" s="10"/>
      <c r="K105" s="15"/>
      <c r="L105" s="15"/>
      <c r="M105" s="10"/>
      <c r="N105" s="16"/>
      <c r="O105" s="16"/>
    </row>
    <row r="106" spans="1:16" s="11" customFormat="1" ht="30.75" customHeight="1">
      <c r="A106" s="106" t="s">
        <v>208</v>
      </c>
      <c r="B106" s="100" t="s">
        <v>152</v>
      </c>
      <c r="C106" s="101">
        <f>C34</f>
        <v>19915</v>
      </c>
      <c r="D106" s="101">
        <f>D34</f>
        <v>42005</v>
      </c>
      <c r="E106" s="101">
        <f>E34</f>
        <v>42005</v>
      </c>
      <c r="F106" s="101">
        <f>F34</f>
        <v>3010</v>
      </c>
      <c r="G106" s="125">
        <f t="shared" si="6"/>
        <v>15.114235500878733</v>
      </c>
      <c r="H106" s="126">
        <f t="shared" si="7"/>
        <v>7.1658135936198075</v>
      </c>
      <c r="I106" s="10"/>
      <c r="J106" s="10"/>
      <c r="K106" s="10"/>
      <c r="L106" s="10"/>
      <c r="M106" s="10"/>
      <c r="P106" s="17"/>
    </row>
    <row r="107" spans="1:16" s="11" customFormat="1" ht="15">
      <c r="A107" s="106" t="s">
        <v>210</v>
      </c>
      <c r="B107" s="100" t="s">
        <v>209</v>
      </c>
      <c r="C107" s="101">
        <f>C45</f>
        <v>48402</v>
      </c>
      <c r="D107" s="101">
        <f>D45</f>
        <v>130000</v>
      </c>
      <c r="E107" s="101">
        <f>E45</f>
        <v>130000</v>
      </c>
      <c r="F107" s="101">
        <f>F45</f>
        <v>89693</v>
      </c>
      <c r="G107" s="125">
        <f t="shared" si="6"/>
        <v>185.30845832816826</v>
      </c>
      <c r="H107" s="126">
        <f t="shared" si="7"/>
        <v>68.99461538461539</v>
      </c>
      <c r="I107" s="10"/>
      <c r="J107" s="10"/>
      <c r="K107" s="10"/>
      <c r="L107" s="10"/>
      <c r="M107" s="10"/>
      <c r="P107" s="17"/>
    </row>
    <row r="108" spans="1:8" s="24" customFormat="1" ht="15">
      <c r="A108" s="106" t="s">
        <v>201</v>
      </c>
      <c r="B108" s="100" t="s">
        <v>200</v>
      </c>
      <c r="C108" s="101"/>
      <c r="D108" s="101"/>
      <c r="E108" s="101"/>
      <c r="F108" s="101"/>
      <c r="G108" s="125"/>
      <c r="H108" s="126"/>
    </row>
    <row r="109" spans="1:8" s="24" customFormat="1" ht="15">
      <c r="A109" s="106">
        <v>5</v>
      </c>
      <c r="B109" s="100" t="s">
        <v>153</v>
      </c>
      <c r="C109" s="101">
        <f>C66</f>
        <v>3700</v>
      </c>
      <c r="D109" s="101">
        <f>D66</f>
        <v>2000</v>
      </c>
      <c r="E109" s="101">
        <f>E66</f>
        <v>2000</v>
      </c>
      <c r="F109" s="101">
        <f>F66</f>
        <v>2000</v>
      </c>
      <c r="G109" s="125">
        <f t="shared" si="6"/>
        <v>54.054054054054056</v>
      </c>
      <c r="H109" s="126">
        <f t="shared" si="7"/>
        <v>100</v>
      </c>
    </row>
    <row r="110" spans="1:16" s="11" customFormat="1" ht="15">
      <c r="A110" s="198" t="s">
        <v>214</v>
      </c>
      <c r="B110" s="199" t="s">
        <v>213</v>
      </c>
      <c r="C110" s="200"/>
      <c r="D110" s="200"/>
      <c r="E110" s="200"/>
      <c r="F110" s="200"/>
      <c r="G110" s="125"/>
      <c r="H110" s="126"/>
      <c r="I110" s="10"/>
      <c r="J110" s="10"/>
      <c r="K110" s="10"/>
      <c r="L110" s="10"/>
      <c r="M110" s="10"/>
      <c r="P110" s="17"/>
    </row>
    <row r="111" spans="1:16" s="17" customFormat="1" ht="14.25" customHeight="1">
      <c r="A111" s="107" t="s">
        <v>206</v>
      </c>
      <c r="B111" s="108" t="s">
        <v>205</v>
      </c>
      <c r="C111" s="109">
        <f>C75</f>
        <v>166050</v>
      </c>
      <c r="D111" s="109">
        <f>D75</f>
        <v>165000</v>
      </c>
      <c r="E111" s="109">
        <f>E75</f>
        <v>165000</v>
      </c>
      <c r="F111" s="109">
        <f>F75</f>
        <v>0</v>
      </c>
      <c r="G111" s="161">
        <f t="shared" si="6"/>
        <v>0</v>
      </c>
      <c r="H111" s="162">
        <f t="shared" si="7"/>
        <v>0</v>
      </c>
      <c r="I111" s="10"/>
      <c r="J111" s="10"/>
      <c r="K111" s="15"/>
      <c r="L111" s="15"/>
      <c r="M111" s="10"/>
      <c r="N111" s="25">
        <f>SUM(N115:N115)</f>
        <v>0</v>
      </c>
      <c r="O111" s="26">
        <f>SUM(O115:O115)</f>
        <v>0</v>
      </c>
      <c r="P111" s="17">
        <f>SUM(H111:J111)</f>
        <v>0</v>
      </c>
    </row>
    <row r="112" spans="1:15" s="17" customFormat="1" ht="14.25" customHeight="1">
      <c r="A112" s="9"/>
      <c r="B112" s="9"/>
      <c r="C112" s="86"/>
      <c r="D112" s="86"/>
      <c r="E112" s="86"/>
      <c r="F112" s="86"/>
      <c r="G112" s="10"/>
      <c r="H112" s="10"/>
      <c r="I112" s="10"/>
      <c r="J112" s="10"/>
      <c r="K112" s="15"/>
      <c r="L112" s="15"/>
      <c r="M112" s="10"/>
      <c r="N112" s="16"/>
      <c r="O112" s="16"/>
    </row>
    <row r="113" spans="1:15" s="17" customFormat="1" ht="14.25" customHeight="1">
      <c r="A113" s="9"/>
      <c r="B113" s="9"/>
      <c r="C113" s="86"/>
      <c r="D113" s="86"/>
      <c r="E113" s="86"/>
      <c r="F113" s="86"/>
      <c r="G113" s="10"/>
      <c r="H113" s="10"/>
      <c r="I113" s="10"/>
      <c r="J113" s="10"/>
      <c r="K113" s="15"/>
      <c r="L113" s="15"/>
      <c r="M113" s="10"/>
      <c r="N113" s="16"/>
      <c r="O113" s="16"/>
    </row>
    <row r="114" spans="1:15" s="17" customFormat="1" ht="14.25" customHeight="1">
      <c r="A114" s="212" t="s">
        <v>47</v>
      </c>
      <c r="B114" s="212"/>
      <c r="C114" s="212"/>
      <c r="D114" s="212"/>
      <c r="E114" s="212"/>
      <c r="F114" s="212"/>
      <c r="G114" s="212"/>
      <c r="H114" s="10"/>
      <c r="I114" s="10"/>
      <c r="J114" s="10"/>
      <c r="K114" s="15"/>
      <c r="L114" s="15"/>
      <c r="M114" s="10"/>
      <c r="N114" s="16"/>
      <c r="O114" s="16"/>
    </row>
    <row r="115" spans="1:16" ht="15">
      <c r="A115" s="9"/>
      <c r="B115" s="9"/>
      <c r="C115" s="9"/>
      <c r="D115" s="9"/>
      <c r="E115" s="9"/>
      <c r="F115" s="9"/>
      <c r="G115" s="9"/>
      <c r="H115" s="10"/>
      <c r="I115" s="21"/>
      <c r="J115" s="21"/>
      <c r="K115" s="22"/>
      <c r="L115" s="22"/>
      <c r="M115" s="21"/>
      <c r="N115" s="3">
        <v>0</v>
      </c>
      <c r="O115" s="3">
        <v>0</v>
      </c>
      <c r="P115" s="17"/>
    </row>
    <row r="116" spans="1:16" s="11" customFormat="1" ht="15">
      <c r="A116" s="11" t="s">
        <v>154</v>
      </c>
      <c r="B116" s="9"/>
      <c r="C116" s="9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P116" s="17"/>
    </row>
    <row r="117" spans="1:16" s="17" customFormat="1" ht="15.75" customHeight="1">
      <c r="A117" s="259" t="s">
        <v>26</v>
      </c>
      <c r="B117" s="261" t="s">
        <v>0</v>
      </c>
      <c r="C117" s="261" t="s">
        <v>117</v>
      </c>
      <c r="D117" s="263" t="s">
        <v>134</v>
      </c>
      <c r="E117" s="263" t="s">
        <v>137</v>
      </c>
      <c r="F117" s="263" t="s">
        <v>136</v>
      </c>
      <c r="G117" s="263" t="s">
        <v>50</v>
      </c>
      <c r="H117" s="263" t="s">
        <v>50</v>
      </c>
      <c r="I117" s="10"/>
      <c r="J117" s="10"/>
      <c r="K117" s="15"/>
      <c r="L117" s="15"/>
      <c r="M117" s="10"/>
      <c r="N117" s="17">
        <v>0</v>
      </c>
      <c r="O117" s="17">
        <v>0</v>
      </c>
      <c r="P117" s="17">
        <f>SUM(H117:J117)</f>
        <v>0</v>
      </c>
    </row>
    <row r="118" spans="1:16" ht="19.5" customHeight="1">
      <c r="A118" s="260"/>
      <c r="B118" s="262"/>
      <c r="C118" s="262"/>
      <c r="D118" s="264"/>
      <c r="E118" s="264"/>
      <c r="F118" s="264"/>
      <c r="G118" s="263"/>
      <c r="H118" s="264"/>
      <c r="I118" s="21"/>
      <c r="J118" s="21"/>
      <c r="K118" s="22"/>
      <c r="L118" s="22"/>
      <c r="M118" s="21"/>
      <c r="N118" s="3">
        <v>0</v>
      </c>
      <c r="O118" s="3">
        <v>0</v>
      </c>
      <c r="P118" s="17"/>
    </row>
    <row r="119" spans="1:16" s="11" customFormat="1" ht="15">
      <c r="A119" s="210">
        <v>1</v>
      </c>
      <c r="B119" s="210"/>
      <c r="C119" s="62">
        <v>2</v>
      </c>
      <c r="D119" s="63">
        <v>3</v>
      </c>
      <c r="E119" s="63">
        <v>4</v>
      </c>
      <c r="F119" s="63">
        <v>5</v>
      </c>
      <c r="G119" s="63" t="s">
        <v>51</v>
      </c>
      <c r="H119" s="63" t="s">
        <v>52</v>
      </c>
      <c r="I119" s="10"/>
      <c r="J119" s="10"/>
      <c r="K119" s="10"/>
      <c r="L119" s="10"/>
      <c r="M119" s="10"/>
      <c r="P119" s="17"/>
    </row>
    <row r="120" spans="1:16" s="11" customFormat="1" ht="15" customHeight="1">
      <c r="A120" s="151">
        <v>922</v>
      </c>
      <c r="B120" s="129" t="s">
        <v>151</v>
      </c>
      <c r="C120" s="127">
        <f>C121</f>
        <v>0</v>
      </c>
      <c r="D120" s="127">
        <f>D121</f>
        <v>29000</v>
      </c>
      <c r="E120" s="127">
        <f>E121</f>
        <v>29000</v>
      </c>
      <c r="F120" s="127">
        <f>F121</f>
        <v>0</v>
      </c>
      <c r="G120" s="153" t="e">
        <f>F120/C120*100</f>
        <v>#DIV/0!</v>
      </c>
      <c r="H120" s="154">
        <f>F120/E120*100</f>
        <v>0</v>
      </c>
      <c r="I120" s="10"/>
      <c r="J120" s="10"/>
      <c r="K120" s="10"/>
      <c r="L120" s="10"/>
      <c r="M120" s="10"/>
      <c r="P120" s="17"/>
    </row>
    <row r="121" spans="1:16" s="11" customFormat="1" ht="35.25" customHeight="1">
      <c r="A121" s="55">
        <v>92211</v>
      </c>
      <c r="B121" s="52" t="s">
        <v>151</v>
      </c>
      <c r="C121" s="71">
        <v>0</v>
      </c>
      <c r="D121" s="53">
        <v>29000</v>
      </c>
      <c r="E121" s="53">
        <v>29000</v>
      </c>
      <c r="F121" s="53">
        <v>0</v>
      </c>
      <c r="G121" s="125" t="e">
        <f>F121/C121*100</f>
        <v>#DIV/0!</v>
      </c>
      <c r="H121" s="126">
        <f>F121/E121*100</f>
        <v>0</v>
      </c>
      <c r="I121" s="10"/>
      <c r="J121" s="10"/>
      <c r="K121" s="10"/>
      <c r="L121" s="10"/>
      <c r="M121" s="10"/>
      <c r="P121" s="17"/>
    </row>
    <row r="122" spans="1:16" s="11" customFormat="1" ht="24.75" customHeight="1">
      <c r="A122" s="271" t="s">
        <v>35</v>
      </c>
      <c r="B122" s="272"/>
      <c r="C122" s="152">
        <f>C120</f>
        <v>0</v>
      </c>
      <c r="D122" s="152">
        <f>D120</f>
        <v>29000</v>
      </c>
      <c r="E122" s="152">
        <f>E120</f>
        <v>29000</v>
      </c>
      <c r="F122" s="152">
        <f>F120</f>
        <v>0</v>
      </c>
      <c r="G122" s="163" t="e">
        <f>F122/C122*100</f>
        <v>#DIV/0!</v>
      </c>
      <c r="H122" s="164">
        <f>F122/E122*100</f>
        <v>0</v>
      </c>
      <c r="I122" s="10"/>
      <c r="J122" s="10"/>
      <c r="K122" s="10"/>
      <c r="L122" s="10"/>
      <c r="M122" s="10"/>
      <c r="P122" s="17"/>
    </row>
    <row r="123" spans="1:16" s="11" customFormat="1" ht="15">
      <c r="A123" s="36"/>
      <c r="B123" s="36"/>
      <c r="C123" s="36"/>
      <c r="D123" s="10"/>
      <c r="E123" s="10"/>
      <c r="F123" s="10"/>
      <c r="G123" s="10"/>
      <c r="H123" s="3"/>
      <c r="I123" s="10"/>
      <c r="J123" s="10"/>
      <c r="K123" s="10"/>
      <c r="L123" s="10"/>
      <c r="M123" s="10"/>
      <c r="P123" s="17"/>
    </row>
    <row r="124" spans="1:16" s="11" customFormat="1" ht="15">
      <c r="A124" s="11" t="s">
        <v>155</v>
      </c>
      <c r="B124" s="9"/>
      <c r="C124" s="9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P124" s="17"/>
    </row>
    <row r="125" spans="1:16" s="11" customFormat="1" ht="15">
      <c r="A125" s="259" t="s">
        <v>26</v>
      </c>
      <c r="B125" s="261" t="s">
        <v>0</v>
      </c>
      <c r="C125" s="261" t="s">
        <v>117</v>
      </c>
      <c r="D125" s="263" t="s">
        <v>134</v>
      </c>
      <c r="E125" s="263" t="s">
        <v>137</v>
      </c>
      <c r="F125" s="263" t="s">
        <v>136</v>
      </c>
      <c r="G125" s="263" t="s">
        <v>50</v>
      </c>
      <c r="H125" s="263" t="s">
        <v>50</v>
      </c>
      <c r="I125" s="10"/>
      <c r="J125" s="10"/>
      <c r="K125" s="10"/>
      <c r="L125" s="10"/>
      <c r="M125" s="10"/>
      <c r="P125" s="17"/>
    </row>
    <row r="126" spans="1:16" s="11" customFormat="1" ht="15">
      <c r="A126" s="260"/>
      <c r="B126" s="262"/>
      <c r="C126" s="261"/>
      <c r="D126" s="264"/>
      <c r="E126" s="264"/>
      <c r="F126" s="264"/>
      <c r="G126" s="264"/>
      <c r="H126" s="264"/>
      <c r="I126" s="10"/>
      <c r="J126" s="10"/>
      <c r="K126" s="10"/>
      <c r="L126" s="10"/>
      <c r="M126" s="10"/>
      <c r="P126" s="17"/>
    </row>
    <row r="127" spans="1:16" s="11" customFormat="1" ht="15">
      <c r="A127" s="209">
        <v>1</v>
      </c>
      <c r="B127" s="209"/>
      <c r="C127" s="90">
        <v>2</v>
      </c>
      <c r="D127" s="91">
        <v>3</v>
      </c>
      <c r="E127" s="91">
        <v>4</v>
      </c>
      <c r="F127" s="91">
        <v>5</v>
      </c>
      <c r="G127" s="91" t="s">
        <v>51</v>
      </c>
      <c r="H127" s="91" t="s">
        <v>52</v>
      </c>
      <c r="I127" s="10"/>
      <c r="J127" s="10"/>
      <c r="K127" s="10"/>
      <c r="L127" s="10"/>
      <c r="M127" s="10"/>
      <c r="P127" s="17"/>
    </row>
    <row r="128" spans="1:16" s="11" customFormat="1" ht="15">
      <c r="A128" s="151">
        <v>922</v>
      </c>
      <c r="B128" s="129" t="s">
        <v>151</v>
      </c>
      <c r="C128" s="127">
        <f>C129</f>
        <v>0</v>
      </c>
      <c r="D128" s="127">
        <f>D129</f>
        <v>18000</v>
      </c>
      <c r="E128" s="127">
        <f>E129</f>
        <v>18000</v>
      </c>
      <c r="F128" s="127">
        <f>F129</f>
        <v>0</v>
      </c>
      <c r="G128" s="153" t="e">
        <f>F128/C128*100</f>
        <v>#DIV/0!</v>
      </c>
      <c r="H128" s="154">
        <f>F128/E128*100</f>
        <v>0</v>
      </c>
      <c r="I128" s="10"/>
      <c r="J128" s="10"/>
      <c r="K128" s="10"/>
      <c r="L128" s="10"/>
      <c r="M128" s="10"/>
      <c r="P128" s="17"/>
    </row>
    <row r="129" spans="1:13" s="35" customFormat="1" ht="15">
      <c r="A129" s="55">
        <v>92211</v>
      </c>
      <c r="B129" s="52" t="s">
        <v>151</v>
      </c>
      <c r="C129" s="71">
        <v>0</v>
      </c>
      <c r="D129" s="53">
        <v>18000</v>
      </c>
      <c r="E129" s="53">
        <v>18000</v>
      </c>
      <c r="F129" s="53">
        <v>0</v>
      </c>
      <c r="G129" s="125" t="e">
        <f>F129/C129*100</f>
        <v>#DIV/0!</v>
      </c>
      <c r="H129" s="126">
        <f>F129/E129*100</f>
        <v>0</v>
      </c>
      <c r="I129" s="21"/>
      <c r="J129" s="21"/>
      <c r="K129" s="21"/>
      <c r="L129" s="21"/>
      <c r="M129" s="21"/>
    </row>
    <row r="130" spans="1:13" s="35" customFormat="1" ht="15">
      <c r="A130" s="288" t="s">
        <v>36</v>
      </c>
      <c r="B130" s="289"/>
      <c r="C130" s="152">
        <f>C128</f>
        <v>0</v>
      </c>
      <c r="D130" s="152">
        <f>D128</f>
        <v>18000</v>
      </c>
      <c r="E130" s="152">
        <f>E128</f>
        <v>18000</v>
      </c>
      <c r="F130" s="152">
        <f>F128</f>
        <v>0</v>
      </c>
      <c r="G130" s="163" t="e">
        <f>F130/C130*100</f>
        <v>#DIV/0!</v>
      </c>
      <c r="H130" s="164">
        <f>F130/E130*100</f>
        <v>0</v>
      </c>
      <c r="I130" s="21"/>
      <c r="J130" s="21"/>
      <c r="K130" s="21"/>
      <c r="L130" s="21"/>
      <c r="M130" s="21"/>
    </row>
    <row r="131" spans="1:13" s="35" customFormat="1" ht="15">
      <c r="A131" s="9"/>
      <c r="B131" s="9"/>
      <c r="C131" s="9"/>
      <c r="D131" s="10"/>
      <c r="E131" s="10"/>
      <c r="F131" s="10"/>
      <c r="G131" s="10"/>
      <c r="H131" s="10"/>
      <c r="I131" s="21"/>
      <c r="J131" s="21"/>
      <c r="K131" s="21"/>
      <c r="L131" s="21"/>
      <c r="M131" s="21"/>
    </row>
    <row r="132" spans="1:13" s="73" customFormat="1" ht="15" customHeight="1">
      <c r="A132" s="9"/>
      <c r="B132" s="9"/>
      <c r="C132" s="9"/>
      <c r="D132" s="10"/>
      <c r="E132" s="10"/>
      <c r="F132" s="10"/>
      <c r="G132" s="10"/>
      <c r="H132" s="10"/>
      <c r="I132" s="21"/>
      <c r="J132" s="21"/>
      <c r="K132" s="21"/>
      <c r="L132" s="21"/>
      <c r="M132" s="21"/>
    </row>
    <row r="133" spans="1:13" s="73" customFormat="1" ht="15" customHeight="1">
      <c r="A133" s="287" t="s">
        <v>39</v>
      </c>
      <c r="B133" s="287"/>
      <c r="C133" s="165">
        <f>C122+C130</f>
        <v>0</v>
      </c>
      <c r="D133" s="165">
        <f>D122+D130</f>
        <v>47000</v>
      </c>
      <c r="E133" s="165">
        <f>E122+E130</f>
        <v>47000</v>
      </c>
      <c r="F133" s="165">
        <f>F122+F130</f>
        <v>0</v>
      </c>
      <c r="G133" s="163" t="e">
        <f>F133/C133*100</f>
        <v>#DIV/0!</v>
      </c>
      <c r="H133" s="164">
        <f>F133/E133*100</f>
        <v>0</v>
      </c>
      <c r="I133" s="21"/>
      <c r="J133" s="21"/>
      <c r="K133" s="21"/>
      <c r="L133" s="21"/>
      <c r="M133" s="21"/>
    </row>
    <row r="134" spans="1:13" s="73" customFormat="1" ht="15" customHeight="1">
      <c r="A134" s="287" t="s">
        <v>40</v>
      </c>
      <c r="B134" s="287"/>
      <c r="C134" s="254">
        <f>C133+C88</f>
        <v>7485600</v>
      </c>
      <c r="D134" s="254">
        <f>D133+D88</f>
        <v>7722985</v>
      </c>
      <c r="E134" s="254">
        <f>E133+E88</f>
        <v>8064466</v>
      </c>
      <c r="F134" s="254">
        <f>F133+F88</f>
        <v>8129803</v>
      </c>
      <c r="G134" s="163">
        <f>F134/C134*100</f>
        <v>108.60589665491077</v>
      </c>
      <c r="H134" s="164">
        <f>F134/E134*100</f>
        <v>100.81018383610272</v>
      </c>
      <c r="I134" s="21"/>
      <c r="J134" s="21"/>
      <c r="K134" s="21"/>
      <c r="L134" s="21"/>
      <c r="M134" s="21"/>
    </row>
    <row r="135" spans="1:16" s="11" customFormat="1" ht="15">
      <c r="A135" s="3"/>
      <c r="B135" s="3"/>
      <c r="C135" s="3"/>
      <c r="D135" s="3"/>
      <c r="E135" s="3"/>
      <c r="F135" s="3"/>
      <c r="G135" s="12"/>
      <c r="H135" s="3"/>
      <c r="I135" s="10"/>
      <c r="J135" s="10"/>
      <c r="K135" s="10"/>
      <c r="L135" s="10"/>
      <c r="M135" s="10"/>
      <c r="P135" s="17"/>
    </row>
    <row r="136" spans="1:13" s="73" customFormat="1" ht="15" customHeight="1">
      <c r="A136" s="3"/>
      <c r="B136" s="3"/>
      <c r="C136" s="3"/>
      <c r="D136" s="3"/>
      <c r="E136" s="3"/>
      <c r="F136" s="3"/>
      <c r="G136" s="12"/>
      <c r="H136" s="3"/>
      <c r="I136" s="21"/>
      <c r="J136" s="21"/>
      <c r="K136" s="21"/>
      <c r="L136" s="21"/>
      <c r="M136" s="21"/>
    </row>
    <row r="137" spans="1:13" s="73" customFormat="1" ht="15" customHeight="1">
      <c r="A137" s="3"/>
      <c r="B137" s="3"/>
      <c r="C137" s="3"/>
      <c r="D137" s="3"/>
      <c r="E137" s="3"/>
      <c r="F137" s="3"/>
      <c r="G137" s="12"/>
      <c r="H137" s="3"/>
      <c r="I137" s="21"/>
      <c r="J137" s="21"/>
      <c r="K137" s="21"/>
      <c r="L137" s="21"/>
      <c r="M137" s="21"/>
    </row>
    <row r="138" spans="1:13" s="73" customFormat="1" ht="15" customHeight="1" hidden="1">
      <c r="A138" s="3"/>
      <c r="B138" s="3"/>
      <c r="C138" s="3"/>
      <c r="D138" s="3"/>
      <c r="E138" s="3"/>
      <c r="F138" s="3"/>
      <c r="G138" s="12"/>
      <c r="H138" s="3"/>
      <c r="I138" s="21"/>
      <c r="J138" s="21"/>
      <c r="K138" s="21"/>
      <c r="L138" s="21"/>
      <c r="M138" s="21"/>
    </row>
    <row r="139" spans="1:13" s="73" customFormat="1" ht="39.75" customHeight="1">
      <c r="A139" s="297" t="s">
        <v>24</v>
      </c>
      <c r="B139" s="297"/>
      <c r="C139" s="297"/>
      <c r="D139" s="297"/>
      <c r="E139" s="297"/>
      <c r="F139" s="297"/>
      <c r="G139" s="297"/>
      <c r="H139" s="297"/>
      <c r="I139" s="21"/>
      <c r="J139" s="21"/>
      <c r="K139" s="21"/>
      <c r="L139" s="21"/>
      <c r="M139" s="21"/>
    </row>
    <row r="140" spans="1:13" s="73" customFormat="1" ht="15" customHeight="1">
      <c r="A140" s="9"/>
      <c r="B140" s="9"/>
      <c r="C140" s="9"/>
      <c r="D140" s="10"/>
      <c r="E140" s="10"/>
      <c r="F140" s="10"/>
      <c r="G140" s="10"/>
      <c r="H140" s="10"/>
      <c r="I140" s="21"/>
      <c r="J140" s="21"/>
      <c r="K140" s="21"/>
      <c r="L140" s="21"/>
      <c r="M140" s="21"/>
    </row>
    <row r="141" spans="1:13" s="73" customFormat="1" ht="15" customHeight="1">
      <c r="A141" s="38" t="s">
        <v>161</v>
      </c>
      <c r="B141" s="39"/>
      <c r="C141" s="39">
        <f aca="true" t="shared" si="8" ref="C141:H141">C142+C180+C190</f>
        <v>561102</v>
      </c>
      <c r="D141" s="39">
        <f t="shared" si="8"/>
        <v>580220</v>
      </c>
      <c r="E141" s="39">
        <f t="shared" si="8"/>
        <v>589820</v>
      </c>
      <c r="F141" s="39">
        <f t="shared" si="8"/>
        <v>522740.8</v>
      </c>
      <c r="G141" s="39">
        <f t="shared" si="8"/>
        <v>275.10529440039056</v>
      </c>
      <c r="H141" s="39">
        <f t="shared" si="8"/>
        <v>287.40689240414054</v>
      </c>
      <c r="I141" s="21"/>
      <c r="J141" s="21"/>
      <c r="K141" s="21"/>
      <c r="L141" s="21"/>
      <c r="M141" s="21"/>
    </row>
    <row r="142" spans="1:13" s="73" customFormat="1" ht="15" customHeight="1">
      <c r="A142" s="299" t="s">
        <v>160</v>
      </c>
      <c r="B142" s="300"/>
      <c r="C142" s="207">
        <f aca="true" t="shared" si="9" ref="C142:H142">C177</f>
        <v>517120</v>
      </c>
      <c r="D142" s="211">
        <f t="shared" si="9"/>
        <v>548720</v>
      </c>
      <c r="E142" s="211">
        <f t="shared" si="9"/>
        <v>548720</v>
      </c>
      <c r="F142" s="211">
        <f t="shared" si="9"/>
        <v>481676.8</v>
      </c>
      <c r="G142" s="211">
        <f t="shared" si="9"/>
        <v>93.14603960396039</v>
      </c>
      <c r="H142" s="211">
        <f t="shared" si="9"/>
        <v>87.78189240414054</v>
      </c>
      <c r="I142" s="21"/>
      <c r="J142" s="21"/>
      <c r="K142" s="21"/>
      <c r="L142" s="21"/>
      <c r="M142" s="21"/>
    </row>
    <row r="143" spans="1:13" s="73" customFormat="1" ht="15" customHeight="1">
      <c r="A143" s="11" t="s">
        <v>233</v>
      </c>
      <c r="B143" s="9"/>
      <c r="C143" s="9"/>
      <c r="D143" s="10"/>
      <c r="E143" s="10"/>
      <c r="F143" s="10"/>
      <c r="G143" s="10"/>
      <c r="H143" s="10"/>
      <c r="I143" s="21"/>
      <c r="J143" s="21"/>
      <c r="K143" s="21"/>
      <c r="L143" s="21"/>
      <c r="M143" s="21"/>
    </row>
    <row r="144" spans="1:16" s="11" customFormat="1" ht="15">
      <c r="A144" s="259" t="s">
        <v>53</v>
      </c>
      <c r="B144" s="261" t="s">
        <v>0</v>
      </c>
      <c r="C144" s="261" t="s">
        <v>117</v>
      </c>
      <c r="D144" s="263" t="s">
        <v>134</v>
      </c>
      <c r="E144" s="263" t="s">
        <v>137</v>
      </c>
      <c r="F144" s="263" t="s">
        <v>136</v>
      </c>
      <c r="G144" s="263" t="s">
        <v>50</v>
      </c>
      <c r="H144" s="263" t="s">
        <v>50</v>
      </c>
      <c r="I144" s="10"/>
      <c r="J144" s="10"/>
      <c r="K144" s="10"/>
      <c r="L144" s="10"/>
      <c r="M144" s="10"/>
      <c r="P144" s="17"/>
    </row>
    <row r="145" spans="1:13" s="73" customFormat="1" ht="15" customHeight="1">
      <c r="A145" s="260"/>
      <c r="B145" s="262"/>
      <c r="C145" s="262"/>
      <c r="D145" s="264"/>
      <c r="E145" s="264"/>
      <c r="F145" s="264"/>
      <c r="G145" s="264"/>
      <c r="H145" s="264"/>
      <c r="I145" s="21"/>
      <c r="J145" s="21"/>
      <c r="K145" s="21"/>
      <c r="L145" s="21"/>
      <c r="M145" s="21"/>
    </row>
    <row r="146" spans="1:16" s="11" customFormat="1" ht="15">
      <c r="A146" s="266">
        <v>1</v>
      </c>
      <c r="B146" s="266"/>
      <c r="C146" s="62">
        <v>2</v>
      </c>
      <c r="D146" s="63">
        <v>3</v>
      </c>
      <c r="E146" s="63">
        <v>4</v>
      </c>
      <c r="F146" s="63">
        <v>5</v>
      </c>
      <c r="G146" s="63" t="s">
        <v>51</v>
      </c>
      <c r="H146" s="63" t="s">
        <v>52</v>
      </c>
      <c r="I146" s="10"/>
      <c r="J146" s="10"/>
      <c r="K146" s="10"/>
      <c r="L146" s="10"/>
      <c r="M146" s="10"/>
      <c r="P146" s="17"/>
    </row>
    <row r="147" spans="1:13" s="73" customFormat="1" ht="15" customHeight="1">
      <c r="A147" s="166">
        <v>32</v>
      </c>
      <c r="B147" s="145" t="s">
        <v>8</v>
      </c>
      <c r="C147" s="174">
        <f>SUM(C148,C152,C159,C168,C170)</f>
        <v>514953</v>
      </c>
      <c r="D147" s="174">
        <f>SUM(D148,D152,D159,D168,D170)</f>
        <v>545720</v>
      </c>
      <c r="E147" s="174">
        <f>SUM(E148,E152,E159,E168,E170)</f>
        <v>545220</v>
      </c>
      <c r="F147" s="174">
        <f>SUM(F148,F152,F159,F168,F170)</f>
        <v>478713.8</v>
      </c>
      <c r="G147" s="163">
        <f>F147/C147*100</f>
        <v>92.96261988958216</v>
      </c>
      <c r="H147" s="164">
        <f>F147/E147*100</f>
        <v>87.80195150581417</v>
      </c>
      <c r="I147" s="21"/>
      <c r="J147" s="21"/>
      <c r="K147" s="21"/>
      <c r="L147" s="21"/>
      <c r="M147" s="21"/>
    </row>
    <row r="148" spans="1:13" s="73" customFormat="1" ht="15" customHeight="1">
      <c r="A148" s="170">
        <v>321</v>
      </c>
      <c r="B148" s="131" t="s">
        <v>9</v>
      </c>
      <c r="C148" s="175">
        <f>SUM(C149:C151)</f>
        <v>11825</v>
      </c>
      <c r="D148" s="175">
        <f>SUM(D149:D151)</f>
        <v>30400</v>
      </c>
      <c r="E148" s="175">
        <f>SUM(E149:E151)</f>
        <v>23400</v>
      </c>
      <c r="F148" s="175">
        <f>SUM(F149:F151)</f>
        <v>11925</v>
      </c>
      <c r="G148" s="172">
        <f>F148/C148*100</f>
        <v>100.84566596194504</v>
      </c>
      <c r="H148" s="173">
        <v>0</v>
      </c>
      <c r="I148" s="21"/>
      <c r="J148" s="21"/>
      <c r="K148" s="21"/>
      <c r="L148" s="21"/>
      <c r="M148" s="21"/>
    </row>
    <row r="149" spans="1:13" s="73" customFormat="1" ht="15" customHeight="1">
      <c r="A149" s="18">
        <v>3211</v>
      </c>
      <c r="B149" s="19" t="s">
        <v>58</v>
      </c>
      <c r="C149" s="75">
        <v>8425</v>
      </c>
      <c r="D149" s="29">
        <v>23600</v>
      </c>
      <c r="E149" s="29">
        <v>16600</v>
      </c>
      <c r="F149" s="29">
        <f>3500+2637+693</f>
        <v>6830</v>
      </c>
      <c r="G149" s="161">
        <f>F149/C149*100</f>
        <v>81.06824925816024</v>
      </c>
      <c r="H149" s="162">
        <v>0</v>
      </c>
      <c r="I149" s="21"/>
      <c r="J149" s="21"/>
      <c r="K149" s="21"/>
      <c r="L149" s="21"/>
      <c r="M149" s="21"/>
    </row>
    <row r="150" spans="1:16" s="11" customFormat="1" ht="15">
      <c r="A150" s="18">
        <v>3213</v>
      </c>
      <c r="B150" s="19" t="s">
        <v>95</v>
      </c>
      <c r="C150" s="75">
        <v>3400</v>
      </c>
      <c r="D150" s="29">
        <v>6000</v>
      </c>
      <c r="E150" s="29">
        <v>6000</v>
      </c>
      <c r="F150" s="29">
        <v>5095</v>
      </c>
      <c r="G150" s="161">
        <v>0</v>
      </c>
      <c r="H150" s="162">
        <v>0</v>
      </c>
      <c r="I150" s="10"/>
      <c r="J150" s="10"/>
      <c r="K150" s="10"/>
      <c r="L150" s="10"/>
      <c r="M150" s="10"/>
      <c r="P150" s="17"/>
    </row>
    <row r="151" spans="1:16" s="11" customFormat="1" ht="30">
      <c r="A151" s="18">
        <v>3214</v>
      </c>
      <c r="B151" s="19" t="s">
        <v>156</v>
      </c>
      <c r="C151" s="75">
        <v>0</v>
      </c>
      <c r="D151" s="29">
        <v>800</v>
      </c>
      <c r="E151" s="29">
        <v>800</v>
      </c>
      <c r="F151" s="29">
        <v>0</v>
      </c>
      <c r="G151" s="161">
        <v>0</v>
      </c>
      <c r="H151" s="162">
        <v>0</v>
      </c>
      <c r="I151" s="10"/>
      <c r="J151" s="10"/>
      <c r="K151" s="10"/>
      <c r="L151" s="10"/>
      <c r="M151" s="10"/>
      <c r="P151" s="17"/>
    </row>
    <row r="152" spans="1:16" s="11" customFormat="1" ht="15">
      <c r="A152" s="170">
        <v>322</v>
      </c>
      <c r="B152" s="131" t="s">
        <v>11</v>
      </c>
      <c r="C152" s="175">
        <f>SUM(C153:C158)</f>
        <v>307927</v>
      </c>
      <c r="D152" s="175">
        <f>SUM(D153:D158)</f>
        <v>319600</v>
      </c>
      <c r="E152" s="175">
        <f>SUM(E153:E158)</f>
        <v>321600</v>
      </c>
      <c r="F152" s="175">
        <f>SUM(F153:F158)</f>
        <v>300407</v>
      </c>
      <c r="G152" s="163">
        <f>F152/C152*100</f>
        <v>97.5578627401949</v>
      </c>
      <c r="H152" s="173">
        <f>F152/E152*100</f>
        <v>93.4101368159204</v>
      </c>
      <c r="I152" s="10"/>
      <c r="J152" s="10"/>
      <c r="K152" s="10"/>
      <c r="L152" s="10"/>
      <c r="M152" s="10"/>
      <c r="P152" s="17"/>
    </row>
    <row r="153" spans="1:16" s="11" customFormat="1" ht="15">
      <c r="A153" s="18" t="s">
        <v>60</v>
      </c>
      <c r="B153" s="19" t="s">
        <v>12</v>
      </c>
      <c r="C153" s="104">
        <v>112553</v>
      </c>
      <c r="D153" s="56">
        <v>66300</v>
      </c>
      <c r="E153" s="56">
        <v>68300</v>
      </c>
      <c r="F153" s="102">
        <f>24234+4153+17188+9305+6302</f>
        <v>61182</v>
      </c>
      <c r="G153" s="172">
        <f>F153/C153*100</f>
        <v>54.358391157943366</v>
      </c>
      <c r="H153" s="162">
        <f>F153/E153*100</f>
        <v>89.57833089311859</v>
      </c>
      <c r="I153" s="10"/>
      <c r="J153" s="10"/>
      <c r="K153" s="10"/>
      <c r="L153" s="10"/>
      <c r="M153" s="10"/>
      <c r="P153" s="17"/>
    </row>
    <row r="154" spans="1:16" s="11" customFormat="1" ht="15">
      <c r="A154" s="18">
        <v>3222</v>
      </c>
      <c r="B154" s="19" t="s">
        <v>96</v>
      </c>
      <c r="C154" s="104">
        <v>245</v>
      </c>
      <c r="D154" s="56">
        <v>1000</v>
      </c>
      <c r="E154" s="56">
        <v>1000</v>
      </c>
      <c r="F154" s="102">
        <v>49</v>
      </c>
      <c r="G154" s="161">
        <f>F154/C154*100</f>
        <v>20</v>
      </c>
      <c r="H154" s="162">
        <v>0</v>
      </c>
      <c r="I154" s="10"/>
      <c r="J154" s="10"/>
      <c r="K154" s="10"/>
      <c r="L154" s="10"/>
      <c r="M154" s="10"/>
      <c r="P154" s="17"/>
    </row>
    <row r="155" spans="1:16" s="11" customFormat="1" ht="15">
      <c r="A155" s="18" t="s">
        <v>61</v>
      </c>
      <c r="B155" s="19" t="s">
        <v>62</v>
      </c>
      <c r="C155" s="104">
        <v>131323</v>
      </c>
      <c r="D155" s="56">
        <v>218300</v>
      </c>
      <c r="E155" s="56">
        <v>218300</v>
      </c>
      <c r="F155" s="102">
        <f>112866+265+91659</f>
        <v>204790</v>
      </c>
      <c r="G155" s="161">
        <v>0</v>
      </c>
      <c r="H155" s="162">
        <f>F155/E155*100</f>
        <v>93.81126889601465</v>
      </c>
      <c r="I155" s="10"/>
      <c r="J155" s="10"/>
      <c r="K155" s="10"/>
      <c r="L155" s="10"/>
      <c r="M155" s="10"/>
      <c r="P155" s="17"/>
    </row>
    <row r="156" spans="1:16" s="11" customFormat="1" ht="30">
      <c r="A156" s="55" t="s">
        <v>63</v>
      </c>
      <c r="B156" s="52" t="s">
        <v>110</v>
      </c>
      <c r="C156" s="53">
        <v>52392</v>
      </c>
      <c r="D156" s="56">
        <v>26000</v>
      </c>
      <c r="E156" s="56">
        <v>26000</v>
      </c>
      <c r="F156" s="56">
        <f>23851+3235+1137</f>
        <v>28223</v>
      </c>
      <c r="G156" s="161">
        <v>0</v>
      </c>
      <c r="H156" s="162">
        <f>F156/E156*100</f>
        <v>108.55</v>
      </c>
      <c r="I156" s="10"/>
      <c r="J156" s="10"/>
      <c r="K156" s="10"/>
      <c r="L156" s="10"/>
      <c r="M156" s="10"/>
      <c r="P156" s="17"/>
    </row>
    <row r="157" spans="1:16" s="11" customFormat="1" ht="15">
      <c r="A157" s="55">
        <v>3225</v>
      </c>
      <c r="B157" s="52" t="s">
        <v>157</v>
      </c>
      <c r="C157" s="53">
        <v>2924</v>
      </c>
      <c r="D157" s="56">
        <v>5000</v>
      </c>
      <c r="E157" s="56">
        <v>5000</v>
      </c>
      <c r="F157" s="56">
        <v>1405</v>
      </c>
      <c r="G157" s="163">
        <f>F157/C157*100</f>
        <v>48.05061559507524</v>
      </c>
      <c r="H157" s="162">
        <f>F157/E157*100</f>
        <v>28.1</v>
      </c>
      <c r="I157" s="10"/>
      <c r="J157" s="10"/>
      <c r="K157" s="10"/>
      <c r="L157" s="10"/>
      <c r="M157" s="10"/>
      <c r="P157" s="17"/>
    </row>
    <row r="158" spans="1:16" s="11" customFormat="1" ht="15">
      <c r="A158" s="55">
        <v>3227</v>
      </c>
      <c r="B158" s="52" t="s">
        <v>98</v>
      </c>
      <c r="C158" s="53">
        <v>8490</v>
      </c>
      <c r="D158" s="56">
        <v>3000</v>
      </c>
      <c r="E158" s="56">
        <v>3000</v>
      </c>
      <c r="F158" s="56">
        <v>4758</v>
      </c>
      <c r="G158" s="172">
        <f>F158/C158*100</f>
        <v>56.04240282685512</v>
      </c>
      <c r="H158" s="162">
        <f>F158/E158*100</f>
        <v>158.6</v>
      </c>
      <c r="I158" s="10"/>
      <c r="J158" s="10"/>
      <c r="K158" s="10"/>
      <c r="L158" s="10"/>
      <c r="M158" s="10"/>
      <c r="P158" s="17"/>
    </row>
    <row r="159" spans="1:16" s="11" customFormat="1" ht="15">
      <c r="A159" s="170">
        <v>323</v>
      </c>
      <c r="B159" s="131" t="s">
        <v>13</v>
      </c>
      <c r="C159" s="175">
        <f>SUM(C160:C167)</f>
        <v>193464</v>
      </c>
      <c r="D159" s="175">
        <f>SUM(D160:D167)</f>
        <v>189320</v>
      </c>
      <c r="E159" s="175">
        <f>SUM(E160:E167)</f>
        <v>192820</v>
      </c>
      <c r="F159" s="175">
        <f>SUM(F160:F167)</f>
        <v>162608.8</v>
      </c>
      <c r="G159" s="161">
        <f>F159/C159*100</f>
        <v>84.05119298680891</v>
      </c>
      <c r="H159" s="173">
        <f>F159/E159*100</f>
        <v>84.33191577637173</v>
      </c>
      <c r="I159" s="10"/>
      <c r="J159" s="10"/>
      <c r="K159" s="10"/>
      <c r="L159" s="10"/>
      <c r="M159" s="10"/>
      <c r="P159" s="17"/>
    </row>
    <row r="160" spans="1:16" s="11" customFormat="1" ht="15">
      <c r="A160" s="121">
        <v>3231</v>
      </c>
      <c r="B160" s="61" t="s">
        <v>111</v>
      </c>
      <c r="C160" s="21">
        <v>39298</v>
      </c>
      <c r="D160" s="122">
        <v>85000</v>
      </c>
      <c r="E160" s="122">
        <v>65000</v>
      </c>
      <c r="F160" s="122">
        <f>19827+1862+20033</f>
        <v>41722</v>
      </c>
      <c r="G160" s="161">
        <v>0</v>
      </c>
      <c r="H160" s="162">
        <v>0</v>
      </c>
      <c r="I160" s="10"/>
      <c r="J160" s="10"/>
      <c r="K160" s="10"/>
      <c r="L160" s="10"/>
      <c r="M160" s="10"/>
      <c r="P160" s="17"/>
    </row>
    <row r="161" spans="1:16" s="11" customFormat="1" ht="15" customHeight="1">
      <c r="A161" s="121">
        <v>3232</v>
      </c>
      <c r="B161" s="61" t="s">
        <v>69</v>
      </c>
      <c r="C161" s="21">
        <v>66182</v>
      </c>
      <c r="D161" s="122">
        <v>32920</v>
      </c>
      <c r="E161" s="122">
        <v>47920</v>
      </c>
      <c r="F161" s="122">
        <f>22500+6175+31842</f>
        <v>60517</v>
      </c>
      <c r="G161" s="161">
        <v>0</v>
      </c>
      <c r="H161" s="162">
        <f aca="true" t="shared" si="10" ref="H161:H167">F161/E161*100</f>
        <v>126.28756260434058</v>
      </c>
      <c r="I161" s="10"/>
      <c r="J161" s="10"/>
      <c r="K161" s="10"/>
      <c r="L161" s="10"/>
      <c r="M161" s="10"/>
      <c r="P161" s="17"/>
    </row>
    <row r="162" spans="1:13" s="73" customFormat="1" ht="15" customHeight="1">
      <c r="A162" s="121">
        <v>3234</v>
      </c>
      <c r="B162" s="61" t="s">
        <v>71</v>
      </c>
      <c r="C162" s="21">
        <v>10854</v>
      </c>
      <c r="D162" s="122">
        <v>15500</v>
      </c>
      <c r="E162" s="122">
        <v>18500</v>
      </c>
      <c r="F162" s="122">
        <f>6209+4500+4240+3472.8</f>
        <v>18421.8</v>
      </c>
      <c r="G162" s="163">
        <f>F162/C162*100</f>
        <v>169.72360420121612</v>
      </c>
      <c r="H162" s="162">
        <f t="shared" si="10"/>
        <v>99.57729729729729</v>
      </c>
      <c r="I162" s="21"/>
      <c r="J162" s="21"/>
      <c r="K162" s="21"/>
      <c r="L162" s="21"/>
      <c r="M162" s="21"/>
    </row>
    <row r="163" spans="1:13" s="73" customFormat="1" ht="15" customHeight="1">
      <c r="A163" s="121">
        <v>3235</v>
      </c>
      <c r="B163" s="61" t="s">
        <v>158</v>
      </c>
      <c r="C163" s="21">
        <v>13367</v>
      </c>
      <c r="D163" s="122">
        <v>15000</v>
      </c>
      <c r="E163" s="122">
        <v>15000</v>
      </c>
      <c r="F163" s="122">
        <v>14752</v>
      </c>
      <c r="G163" s="172">
        <f>F163/C163*100</f>
        <v>110.36133762250317</v>
      </c>
      <c r="H163" s="162">
        <f t="shared" si="10"/>
        <v>98.34666666666666</v>
      </c>
      <c r="I163" s="21"/>
      <c r="J163" s="21"/>
      <c r="K163" s="21"/>
      <c r="L163" s="21"/>
      <c r="M163" s="21"/>
    </row>
    <row r="164" spans="1:16" s="11" customFormat="1" ht="30">
      <c r="A164" s="121">
        <v>3236</v>
      </c>
      <c r="B164" s="61" t="s">
        <v>159</v>
      </c>
      <c r="C164" s="21">
        <v>11000</v>
      </c>
      <c r="D164" s="122">
        <v>18000</v>
      </c>
      <c r="E164" s="122">
        <v>18000</v>
      </c>
      <c r="F164" s="122">
        <v>7880</v>
      </c>
      <c r="G164" s="161">
        <f>F164/C164*100</f>
        <v>71.63636363636363</v>
      </c>
      <c r="H164" s="162">
        <f t="shared" si="10"/>
        <v>43.77777777777778</v>
      </c>
      <c r="I164" s="10"/>
      <c r="J164" s="10"/>
      <c r="K164" s="10"/>
      <c r="L164" s="10"/>
      <c r="M164" s="10"/>
      <c r="P164" s="17"/>
    </row>
    <row r="165" spans="1:16" s="11" customFormat="1" ht="15.75" customHeight="1">
      <c r="A165" s="121">
        <v>3237</v>
      </c>
      <c r="B165" s="61" t="s">
        <v>101</v>
      </c>
      <c r="C165" s="21">
        <v>0</v>
      </c>
      <c r="D165" s="122">
        <v>1000</v>
      </c>
      <c r="E165" s="122">
        <v>1000</v>
      </c>
      <c r="F165" s="122">
        <v>465</v>
      </c>
      <c r="G165" s="161">
        <v>0</v>
      </c>
      <c r="H165" s="162">
        <f t="shared" si="10"/>
        <v>46.5</v>
      </c>
      <c r="I165" s="10"/>
      <c r="J165" s="10"/>
      <c r="K165" s="10"/>
      <c r="L165" s="10"/>
      <c r="M165" s="10"/>
      <c r="P165" s="17"/>
    </row>
    <row r="166" spans="1:16" s="11" customFormat="1" ht="15.75" customHeight="1">
      <c r="A166" s="121">
        <v>3238</v>
      </c>
      <c r="B166" s="61" t="s">
        <v>73</v>
      </c>
      <c r="C166" s="21">
        <v>31123</v>
      </c>
      <c r="D166" s="122">
        <v>19600</v>
      </c>
      <c r="E166" s="122">
        <v>25100</v>
      </c>
      <c r="F166" s="122">
        <f>2850+11400+3437</f>
        <v>17687</v>
      </c>
      <c r="G166" s="161">
        <v>0</v>
      </c>
      <c r="H166" s="162">
        <f t="shared" si="10"/>
        <v>70.46613545816733</v>
      </c>
      <c r="I166" s="10"/>
      <c r="J166" s="10"/>
      <c r="K166" s="10"/>
      <c r="L166" s="10"/>
      <c r="M166" s="10"/>
      <c r="P166" s="17"/>
    </row>
    <row r="167" spans="1:16" s="11" customFormat="1" ht="15.75" customHeight="1">
      <c r="A167" s="121">
        <v>3239</v>
      </c>
      <c r="B167" s="61" t="s">
        <v>14</v>
      </c>
      <c r="C167" s="21">
        <v>21640</v>
      </c>
      <c r="D167" s="122">
        <v>2300</v>
      </c>
      <c r="E167" s="122">
        <v>2300</v>
      </c>
      <c r="F167" s="122">
        <f>226+938</f>
        <v>1164</v>
      </c>
      <c r="G167" s="163">
        <f>F167/C167*100</f>
        <v>5.378927911275415</v>
      </c>
      <c r="H167" s="162">
        <f t="shared" si="10"/>
        <v>50.60869565217392</v>
      </c>
      <c r="I167" s="10"/>
      <c r="J167" s="10"/>
      <c r="K167" s="10"/>
      <c r="L167" s="10"/>
      <c r="M167" s="10"/>
      <c r="P167" s="17"/>
    </row>
    <row r="168" spans="1:16" s="11" customFormat="1" ht="15.75" customHeight="1">
      <c r="A168" s="170">
        <v>324</v>
      </c>
      <c r="B168" s="131" t="s">
        <v>130</v>
      </c>
      <c r="C168" s="175">
        <f>C169</f>
        <v>0</v>
      </c>
      <c r="D168" s="175">
        <f>D169</f>
        <v>0</v>
      </c>
      <c r="E168" s="175">
        <f>E169</f>
        <v>0</v>
      </c>
      <c r="F168" s="175">
        <f>F169</f>
        <v>0</v>
      </c>
      <c r="G168" s="172" t="e">
        <f>F168/C168*100</f>
        <v>#DIV/0!</v>
      </c>
      <c r="H168" s="162">
        <v>0</v>
      </c>
      <c r="I168" s="10"/>
      <c r="J168" s="10"/>
      <c r="K168" s="10"/>
      <c r="L168" s="10"/>
      <c r="M168" s="10"/>
      <c r="P168" s="17"/>
    </row>
    <row r="169" spans="1:16" s="11" customFormat="1" ht="15.75" customHeight="1">
      <c r="A169" s="121">
        <v>3241</v>
      </c>
      <c r="B169" s="61" t="s">
        <v>130</v>
      </c>
      <c r="C169" s="21">
        <v>0</v>
      </c>
      <c r="D169" s="122">
        <v>0</v>
      </c>
      <c r="E169" s="122">
        <v>0</v>
      </c>
      <c r="F169" s="122">
        <v>0</v>
      </c>
      <c r="G169" s="161" t="e">
        <f>F169/C169*100</f>
        <v>#DIV/0!</v>
      </c>
      <c r="H169" s="162">
        <v>0</v>
      </c>
      <c r="I169" s="10"/>
      <c r="J169" s="10"/>
      <c r="K169" s="10"/>
      <c r="L169" s="10"/>
      <c r="M169" s="10"/>
      <c r="P169" s="17"/>
    </row>
    <row r="170" spans="1:16" s="11" customFormat="1" ht="15">
      <c r="A170" s="170">
        <v>329</v>
      </c>
      <c r="B170" s="131" t="s">
        <v>15</v>
      </c>
      <c r="C170" s="175">
        <f>SUM(C171:C173)</f>
        <v>1737</v>
      </c>
      <c r="D170" s="175">
        <f>SUM(D171:D173)</f>
        <v>6400</v>
      </c>
      <c r="E170" s="175">
        <f>SUM(E171:E173)</f>
        <v>7400</v>
      </c>
      <c r="F170" s="175">
        <f>SUM(F171:F173)</f>
        <v>3773</v>
      </c>
      <c r="G170" s="161">
        <v>0</v>
      </c>
      <c r="H170" s="173">
        <f>F170/E170*100</f>
        <v>50.986486486486484</v>
      </c>
      <c r="I170" s="10"/>
      <c r="J170" s="10"/>
      <c r="K170" s="10"/>
      <c r="L170" s="10"/>
      <c r="M170" s="10"/>
      <c r="P170" s="17"/>
    </row>
    <row r="171" spans="1:16" s="11" customFormat="1" ht="15">
      <c r="A171" s="121">
        <v>3293</v>
      </c>
      <c r="B171" s="61" t="s">
        <v>78</v>
      </c>
      <c r="C171" s="21">
        <v>337</v>
      </c>
      <c r="D171" s="122">
        <v>1400</v>
      </c>
      <c r="E171" s="122">
        <v>1400</v>
      </c>
      <c r="F171" s="122">
        <v>450</v>
      </c>
      <c r="G171" s="161">
        <v>0</v>
      </c>
      <c r="H171" s="162">
        <v>0</v>
      </c>
      <c r="I171" s="10"/>
      <c r="J171" s="10"/>
      <c r="K171" s="10"/>
      <c r="L171" s="10"/>
      <c r="M171" s="10"/>
      <c r="P171" s="17"/>
    </row>
    <row r="172" spans="1:16" s="11" customFormat="1" ht="15">
      <c r="A172" s="121">
        <v>3294</v>
      </c>
      <c r="B172" s="61" t="s">
        <v>102</v>
      </c>
      <c r="C172" s="21">
        <v>1100</v>
      </c>
      <c r="D172" s="122">
        <v>1500</v>
      </c>
      <c r="E172" s="122">
        <v>1500</v>
      </c>
      <c r="F172" s="122">
        <v>1100</v>
      </c>
      <c r="G172" s="163">
        <f>F172/C172*100</f>
        <v>100</v>
      </c>
      <c r="H172" s="162">
        <f>F172/E172*100</f>
        <v>73.33333333333333</v>
      </c>
      <c r="I172" s="10"/>
      <c r="J172" s="10"/>
      <c r="K172" s="10"/>
      <c r="L172" s="10"/>
      <c r="M172" s="10"/>
      <c r="P172" s="17"/>
    </row>
    <row r="173" spans="1:16" s="11" customFormat="1" ht="15">
      <c r="A173" s="121">
        <v>3299</v>
      </c>
      <c r="B173" s="61" t="s">
        <v>15</v>
      </c>
      <c r="C173" s="21">
        <v>300</v>
      </c>
      <c r="D173" s="122">
        <v>3500</v>
      </c>
      <c r="E173" s="122">
        <v>4500</v>
      </c>
      <c r="F173" s="122">
        <f>724+1499</f>
        <v>2223</v>
      </c>
      <c r="G173" s="172">
        <f>F173/C173*100</f>
        <v>741</v>
      </c>
      <c r="H173" s="162">
        <f>F173/E173*100</f>
        <v>49.4</v>
      </c>
      <c r="I173" s="10"/>
      <c r="J173" s="10"/>
      <c r="K173" s="10"/>
      <c r="L173" s="10"/>
      <c r="M173" s="10"/>
      <c r="P173" s="17"/>
    </row>
    <row r="174" spans="1:16" s="11" customFormat="1" ht="15">
      <c r="A174" s="166">
        <v>34</v>
      </c>
      <c r="B174" s="145" t="s">
        <v>16</v>
      </c>
      <c r="C174" s="180">
        <f>SUM(C175)</f>
        <v>2167</v>
      </c>
      <c r="D174" s="180">
        <f aca="true" t="shared" si="11" ref="D174:F175">SUM(D175)</f>
        <v>3000</v>
      </c>
      <c r="E174" s="180">
        <f>SUM(E175)</f>
        <v>3500</v>
      </c>
      <c r="F174" s="180">
        <f t="shared" si="11"/>
        <v>2963</v>
      </c>
      <c r="G174" s="161">
        <f>F174/C174*100</f>
        <v>136.73281033687127</v>
      </c>
      <c r="H174" s="164">
        <v>0</v>
      </c>
      <c r="I174" s="10"/>
      <c r="J174" s="10"/>
      <c r="K174" s="10"/>
      <c r="L174" s="10"/>
      <c r="M174" s="10"/>
      <c r="P174" s="17"/>
    </row>
    <row r="175" spans="1:16" s="221" customFormat="1" ht="15">
      <c r="A175" s="170">
        <v>343</v>
      </c>
      <c r="B175" s="131" t="s">
        <v>17</v>
      </c>
      <c r="C175" s="181">
        <f>SUM(C176)</f>
        <v>2167</v>
      </c>
      <c r="D175" s="181">
        <f t="shared" si="11"/>
        <v>3000</v>
      </c>
      <c r="E175" s="181">
        <f t="shared" si="11"/>
        <v>3500</v>
      </c>
      <c r="F175" s="181">
        <f t="shared" si="11"/>
        <v>2963</v>
      </c>
      <c r="G175" s="161">
        <v>0</v>
      </c>
      <c r="H175" s="173">
        <v>0</v>
      </c>
      <c r="I175" s="15"/>
      <c r="J175" s="15"/>
      <c r="K175" s="15"/>
      <c r="L175" s="15"/>
      <c r="M175" s="15"/>
      <c r="P175" s="218"/>
    </row>
    <row r="176" spans="1:16" s="221" customFormat="1" ht="15">
      <c r="A176" s="55" t="s">
        <v>81</v>
      </c>
      <c r="B176" s="52" t="s">
        <v>82</v>
      </c>
      <c r="C176" s="110">
        <v>2167</v>
      </c>
      <c r="D176" s="53">
        <v>3000</v>
      </c>
      <c r="E176" s="53">
        <v>3500</v>
      </c>
      <c r="F176" s="53">
        <v>2963</v>
      </c>
      <c r="G176" s="161">
        <v>0</v>
      </c>
      <c r="H176" s="162">
        <v>0</v>
      </c>
      <c r="I176" s="15"/>
      <c r="J176" s="15"/>
      <c r="K176" s="15"/>
      <c r="L176" s="15"/>
      <c r="M176" s="15"/>
      <c r="P176" s="218"/>
    </row>
    <row r="177" spans="1:16" s="221" customFormat="1" ht="15">
      <c r="A177" s="295" t="s">
        <v>3</v>
      </c>
      <c r="B177" s="296"/>
      <c r="C177" s="178">
        <f>SUM(C147,C174)</f>
        <v>517120</v>
      </c>
      <c r="D177" s="178">
        <f>SUM(D147,D174)</f>
        <v>548720</v>
      </c>
      <c r="E177" s="178">
        <f>SUM(E147,E174)</f>
        <v>548720</v>
      </c>
      <c r="F177" s="178">
        <f>SUM(F147,F174)</f>
        <v>481676.8</v>
      </c>
      <c r="G177" s="163">
        <f>F177/C177*100</f>
        <v>93.14603960396039</v>
      </c>
      <c r="H177" s="164">
        <f>F177/E177*100</f>
        <v>87.78189240414054</v>
      </c>
      <c r="I177" s="15"/>
      <c r="J177" s="15"/>
      <c r="K177" s="15"/>
      <c r="L177" s="15"/>
      <c r="M177" s="15"/>
      <c r="P177" s="218"/>
    </row>
    <row r="178" spans="2:16" s="11" customFormat="1" ht="15">
      <c r="B178" s="9"/>
      <c r="C178" s="9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P178" s="17"/>
    </row>
    <row r="179" spans="2:16" s="11" customFormat="1" ht="15">
      <c r="B179" s="9"/>
      <c r="C179" s="9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P179" s="17"/>
    </row>
    <row r="180" spans="1:16" s="11" customFormat="1" ht="18.75">
      <c r="A180" s="299" t="s">
        <v>162</v>
      </c>
      <c r="B180" s="300"/>
      <c r="C180" s="211">
        <f aca="true" t="shared" si="12" ref="C180:H180">C188</f>
        <v>11100</v>
      </c>
      <c r="D180" s="211">
        <f t="shared" si="12"/>
        <v>0</v>
      </c>
      <c r="E180" s="211">
        <f t="shared" si="12"/>
        <v>9600</v>
      </c>
      <c r="F180" s="211">
        <f t="shared" si="12"/>
        <v>9564</v>
      </c>
      <c r="G180" s="211">
        <f t="shared" si="12"/>
        <v>86.16216216216216</v>
      </c>
      <c r="H180" s="211">
        <f t="shared" si="12"/>
        <v>99.625</v>
      </c>
      <c r="I180" s="10"/>
      <c r="J180" s="10"/>
      <c r="K180" s="10"/>
      <c r="L180" s="10"/>
      <c r="M180" s="10"/>
      <c r="P180" s="17"/>
    </row>
    <row r="181" spans="1:16" s="11" customFormat="1" ht="15">
      <c r="A181" s="11" t="s">
        <v>163</v>
      </c>
      <c r="B181" s="9"/>
      <c r="C181" s="9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P181" s="17"/>
    </row>
    <row r="182" spans="1:16" s="11" customFormat="1" ht="15">
      <c r="A182" s="259" t="s">
        <v>53</v>
      </c>
      <c r="B182" s="261" t="s">
        <v>0</v>
      </c>
      <c r="C182" s="261" t="s">
        <v>117</v>
      </c>
      <c r="D182" s="263" t="s">
        <v>134</v>
      </c>
      <c r="E182" s="263" t="s">
        <v>137</v>
      </c>
      <c r="F182" s="263" t="s">
        <v>136</v>
      </c>
      <c r="G182" s="263" t="s">
        <v>50</v>
      </c>
      <c r="H182" s="263" t="s">
        <v>50</v>
      </c>
      <c r="I182" s="10"/>
      <c r="J182" s="10"/>
      <c r="K182" s="10"/>
      <c r="L182" s="10"/>
      <c r="M182" s="10"/>
      <c r="P182" s="17"/>
    </row>
    <row r="183" spans="1:16" s="35" customFormat="1" ht="15">
      <c r="A183" s="260"/>
      <c r="B183" s="262"/>
      <c r="C183" s="262"/>
      <c r="D183" s="264"/>
      <c r="E183" s="264"/>
      <c r="F183" s="264"/>
      <c r="G183" s="264"/>
      <c r="H183" s="264"/>
      <c r="I183" s="21"/>
      <c r="J183" s="21"/>
      <c r="K183" s="21"/>
      <c r="L183" s="21"/>
      <c r="M183" s="21"/>
      <c r="P183" s="3"/>
    </row>
    <row r="184" spans="1:16" s="11" customFormat="1" ht="15">
      <c r="A184" s="266">
        <v>1</v>
      </c>
      <c r="B184" s="266"/>
      <c r="C184" s="62">
        <v>2</v>
      </c>
      <c r="D184" s="63">
        <v>3</v>
      </c>
      <c r="E184" s="63">
        <v>4</v>
      </c>
      <c r="F184" s="63">
        <v>5</v>
      </c>
      <c r="G184" s="63" t="s">
        <v>51</v>
      </c>
      <c r="H184" s="63" t="s">
        <v>52</v>
      </c>
      <c r="I184" s="10"/>
      <c r="J184" s="10"/>
      <c r="K184" s="10"/>
      <c r="L184" s="10"/>
      <c r="M184" s="10"/>
      <c r="P184" s="17"/>
    </row>
    <row r="185" spans="1:16" s="11" customFormat="1" ht="15">
      <c r="A185" s="166">
        <v>32</v>
      </c>
      <c r="B185" s="145" t="s">
        <v>8</v>
      </c>
      <c r="C185" s="174">
        <f>C186</f>
        <v>11100</v>
      </c>
      <c r="D185" s="174">
        <f>D186</f>
        <v>0</v>
      </c>
      <c r="E185" s="174">
        <f>E186</f>
        <v>9600</v>
      </c>
      <c r="F185" s="174">
        <f>F186</f>
        <v>9564</v>
      </c>
      <c r="G185" s="163">
        <f>F185/C185*100</f>
        <v>86.16216216216216</v>
      </c>
      <c r="H185" s="164">
        <f>F185/E185*100</f>
        <v>99.625</v>
      </c>
      <c r="I185" s="10"/>
      <c r="J185" s="10"/>
      <c r="K185" s="10"/>
      <c r="L185" s="10"/>
      <c r="M185" s="10"/>
      <c r="P185" s="17"/>
    </row>
    <row r="186" spans="1:16" s="11" customFormat="1" ht="15">
      <c r="A186" s="170">
        <v>323</v>
      </c>
      <c r="B186" s="131" t="s">
        <v>13</v>
      </c>
      <c r="C186" s="175">
        <f>SUM(C187:C187)</f>
        <v>11100</v>
      </c>
      <c r="D186" s="175">
        <f>SUM(D187:D187)</f>
        <v>0</v>
      </c>
      <c r="E186" s="175">
        <f>SUM(E187:E187)</f>
        <v>9600</v>
      </c>
      <c r="F186" s="175">
        <f>SUM(F187:F187)</f>
        <v>9564</v>
      </c>
      <c r="G186" s="172">
        <f>F186/C186*100</f>
        <v>86.16216216216216</v>
      </c>
      <c r="H186" s="173">
        <f>F186/E186*100</f>
        <v>99.625</v>
      </c>
      <c r="I186" s="10"/>
      <c r="J186" s="10"/>
      <c r="K186" s="10"/>
      <c r="L186" s="10"/>
      <c r="M186" s="10"/>
      <c r="P186" s="17"/>
    </row>
    <row r="187" spans="1:16" s="11" customFormat="1" ht="15" customHeight="1">
      <c r="A187" s="121">
        <v>3232</v>
      </c>
      <c r="B187" s="61" t="s">
        <v>69</v>
      </c>
      <c r="C187" s="21">
        <v>11100</v>
      </c>
      <c r="D187" s="122">
        <v>0</v>
      </c>
      <c r="E187" s="122">
        <v>9600</v>
      </c>
      <c r="F187" s="122">
        <v>9564</v>
      </c>
      <c r="G187" s="161">
        <f>F187/C187*100</f>
        <v>86.16216216216216</v>
      </c>
      <c r="H187" s="162">
        <f>F187/E187*100</f>
        <v>99.625</v>
      </c>
      <c r="I187" s="10"/>
      <c r="J187" s="10"/>
      <c r="K187" s="10"/>
      <c r="L187" s="10"/>
      <c r="M187" s="10"/>
      <c r="P187" s="17"/>
    </row>
    <row r="188" spans="1:13" s="35" customFormat="1" ht="15">
      <c r="A188" s="295" t="s">
        <v>3</v>
      </c>
      <c r="B188" s="296"/>
      <c r="C188" s="178">
        <f>C185</f>
        <v>11100</v>
      </c>
      <c r="D188" s="178">
        <f>D185</f>
        <v>0</v>
      </c>
      <c r="E188" s="178">
        <f>E185</f>
        <v>9600</v>
      </c>
      <c r="F188" s="178">
        <f>F185</f>
        <v>9564</v>
      </c>
      <c r="G188" s="163">
        <f>F188/C188*100</f>
        <v>86.16216216216216</v>
      </c>
      <c r="H188" s="164">
        <f>F188/E188*100</f>
        <v>99.625</v>
      </c>
      <c r="I188" s="21"/>
      <c r="J188" s="21"/>
      <c r="K188" s="21"/>
      <c r="L188" s="21"/>
      <c r="M188" s="21"/>
    </row>
    <row r="189" spans="1:13" s="35" customFormat="1" ht="15">
      <c r="A189" s="9"/>
      <c r="B189" s="9"/>
      <c r="C189" s="9"/>
      <c r="D189" s="10"/>
      <c r="E189" s="10"/>
      <c r="F189" s="10"/>
      <c r="G189" s="10"/>
      <c r="H189" s="10"/>
      <c r="I189" s="21"/>
      <c r="J189" s="21"/>
      <c r="K189" s="21"/>
      <c r="L189" s="21"/>
      <c r="M189" s="21"/>
    </row>
    <row r="190" spans="1:13" s="35" customFormat="1" ht="18.75">
      <c r="A190" s="299" t="s">
        <v>164</v>
      </c>
      <c r="B190" s="300"/>
      <c r="C190" s="211">
        <f aca="true" t="shared" si="13" ref="C190:H190">C198</f>
        <v>32882</v>
      </c>
      <c r="D190" s="211">
        <f t="shared" si="13"/>
        <v>31500</v>
      </c>
      <c r="E190" s="211">
        <f t="shared" si="13"/>
        <v>31500</v>
      </c>
      <c r="F190" s="211">
        <f t="shared" si="13"/>
        <v>31500</v>
      </c>
      <c r="G190" s="211">
        <f t="shared" si="13"/>
        <v>95.79709263426798</v>
      </c>
      <c r="H190" s="211">
        <f t="shared" si="13"/>
        <v>100</v>
      </c>
      <c r="I190" s="21"/>
      <c r="J190" s="21"/>
      <c r="K190" s="21"/>
      <c r="L190" s="21"/>
      <c r="M190" s="21"/>
    </row>
    <row r="191" spans="1:16" s="11" customFormat="1" ht="15">
      <c r="A191" s="11" t="s">
        <v>163</v>
      </c>
      <c r="B191" s="9"/>
      <c r="C191" s="9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P191" s="17"/>
    </row>
    <row r="192" spans="1:16" s="11" customFormat="1" ht="15">
      <c r="A192" s="259" t="s">
        <v>53</v>
      </c>
      <c r="B192" s="261" t="s">
        <v>0</v>
      </c>
      <c r="C192" s="261" t="s">
        <v>117</v>
      </c>
      <c r="D192" s="263" t="s">
        <v>134</v>
      </c>
      <c r="E192" s="263" t="s">
        <v>137</v>
      </c>
      <c r="F192" s="263" t="s">
        <v>136</v>
      </c>
      <c r="G192" s="263" t="s">
        <v>50</v>
      </c>
      <c r="H192" s="263" t="s">
        <v>50</v>
      </c>
      <c r="I192" s="10"/>
      <c r="J192" s="10"/>
      <c r="K192" s="10"/>
      <c r="L192" s="10"/>
      <c r="M192" s="10"/>
      <c r="P192" s="17"/>
    </row>
    <row r="193" spans="1:16" s="11" customFormat="1" ht="15">
      <c r="A193" s="260"/>
      <c r="B193" s="262"/>
      <c r="C193" s="262"/>
      <c r="D193" s="264"/>
      <c r="E193" s="264"/>
      <c r="F193" s="264"/>
      <c r="G193" s="264"/>
      <c r="H193" s="264"/>
      <c r="I193" s="10"/>
      <c r="J193" s="10"/>
      <c r="K193" s="10"/>
      <c r="L193" s="10"/>
      <c r="M193" s="10"/>
      <c r="P193" s="17"/>
    </row>
    <row r="194" spans="1:16" s="35" customFormat="1" ht="15">
      <c r="A194" s="266">
        <v>1</v>
      </c>
      <c r="B194" s="266"/>
      <c r="C194" s="62">
        <v>2</v>
      </c>
      <c r="D194" s="63">
        <v>3</v>
      </c>
      <c r="E194" s="63">
        <v>4</v>
      </c>
      <c r="F194" s="63">
        <v>5</v>
      </c>
      <c r="G194" s="63" t="s">
        <v>51</v>
      </c>
      <c r="H194" s="63" t="s">
        <v>52</v>
      </c>
      <c r="I194" s="21"/>
      <c r="J194" s="21"/>
      <c r="K194" s="21"/>
      <c r="L194" s="21"/>
      <c r="M194" s="21"/>
      <c r="P194" s="3"/>
    </row>
    <row r="195" spans="1:16" s="11" customFormat="1" ht="15">
      <c r="A195" s="185">
        <v>42</v>
      </c>
      <c r="B195" s="186" t="s">
        <v>112</v>
      </c>
      <c r="C195" s="187">
        <f>C196</f>
        <v>32882</v>
      </c>
      <c r="D195" s="187">
        <f>D196</f>
        <v>31500</v>
      </c>
      <c r="E195" s="187">
        <f>E196</f>
        <v>31500</v>
      </c>
      <c r="F195" s="187">
        <f>F196</f>
        <v>31500</v>
      </c>
      <c r="G195" s="163">
        <v>0</v>
      </c>
      <c r="H195" s="164">
        <v>0</v>
      </c>
      <c r="I195" s="10"/>
      <c r="J195" s="10"/>
      <c r="K195" s="10"/>
      <c r="L195" s="10"/>
      <c r="M195" s="10"/>
      <c r="P195" s="17"/>
    </row>
    <row r="196" spans="1:16" s="11" customFormat="1" ht="15">
      <c r="A196" s="158">
        <v>422</v>
      </c>
      <c r="B196" s="159" t="s">
        <v>18</v>
      </c>
      <c r="C196" s="160">
        <f>SUM(C197:C197)</f>
        <v>32882</v>
      </c>
      <c r="D196" s="160">
        <f>SUM(D197:D197)</f>
        <v>31500</v>
      </c>
      <c r="E196" s="160">
        <f>SUM(E197:E197)</f>
        <v>31500</v>
      </c>
      <c r="F196" s="160">
        <f>SUM(F197:F197)</f>
        <v>31500</v>
      </c>
      <c r="G196" s="172">
        <v>0</v>
      </c>
      <c r="H196" s="173">
        <v>0</v>
      </c>
      <c r="I196" s="10"/>
      <c r="J196" s="10"/>
      <c r="K196" s="10"/>
      <c r="L196" s="10"/>
      <c r="M196" s="10"/>
      <c r="P196" s="17"/>
    </row>
    <row r="197" spans="1:16" s="11" customFormat="1" ht="15">
      <c r="A197" s="121">
        <v>4221</v>
      </c>
      <c r="B197" s="61" t="s">
        <v>84</v>
      </c>
      <c r="C197" s="120">
        <v>32882</v>
      </c>
      <c r="D197" s="21">
        <v>31500</v>
      </c>
      <c r="E197" s="21">
        <v>31500</v>
      </c>
      <c r="F197" s="21">
        <v>31500</v>
      </c>
      <c r="G197" s="161">
        <v>0</v>
      </c>
      <c r="H197" s="162">
        <v>0</v>
      </c>
      <c r="I197" s="10"/>
      <c r="J197" s="10"/>
      <c r="K197" s="10"/>
      <c r="L197" s="10"/>
      <c r="M197" s="10"/>
      <c r="P197" s="17"/>
    </row>
    <row r="198" spans="1:16" s="11" customFormat="1" ht="15">
      <c r="A198" s="295" t="s">
        <v>3</v>
      </c>
      <c r="B198" s="296"/>
      <c r="C198" s="178">
        <f>C195</f>
        <v>32882</v>
      </c>
      <c r="D198" s="178">
        <f>D195</f>
        <v>31500</v>
      </c>
      <c r="E198" s="178">
        <f>E195</f>
        <v>31500</v>
      </c>
      <c r="F198" s="178">
        <f>F195</f>
        <v>31500</v>
      </c>
      <c r="G198" s="163">
        <f>F198/C198*100</f>
        <v>95.79709263426798</v>
      </c>
      <c r="H198" s="164">
        <f>F198/E198*100</f>
        <v>100</v>
      </c>
      <c r="I198" s="10"/>
      <c r="J198" s="10"/>
      <c r="K198" s="10"/>
      <c r="L198" s="10"/>
      <c r="M198" s="10"/>
      <c r="P198" s="17"/>
    </row>
    <row r="199" spans="1:13" s="35" customFormat="1" ht="15">
      <c r="A199" s="219"/>
      <c r="B199" s="219"/>
      <c r="C199" s="220"/>
      <c r="D199" s="220"/>
      <c r="E199" s="220"/>
      <c r="F199" s="220"/>
      <c r="G199" s="15"/>
      <c r="H199" s="15"/>
      <c r="I199" s="21"/>
      <c r="J199" s="21"/>
      <c r="K199" s="21"/>
      <c r="L199" s="21"/>
      <c r="M199" s="21"/>
    </row>
    <row r="200" spans="1:13" s="223" customFormat="1" ht="15">
      <c r="A200" s="219"/>
      <c r="B200" s="219"/>
      <c r="C200" s="220"/>
      <c r="D200" s="220"/>
      <c r="E200" s="220"/>
      <c r="F200" s="220"/>
      <c r="G200" s="15"/>
      <c r="H200" s="15"/>
      <c r="I200" s="22"/>
      <c r="J200" s="22"/>
      <c r="K200" s="22"/>
      <c r="L200" s="22"/>
      <c r="M200" s="22"/>
    </row>
    <row r="201" spans="1:13" s="223" customFormat="1" ht="15">
      <c r="A201" s="219"/>
      <c r="B201" s="219"/>
      <c r="C201" s="220"/>
      <c r="D201" s="220"/>
      <c r="E201" s="220"/>
      <c r="F201" s="220"/>
      <c r="G201" s="15"/>
      <c r="H201" s="15"/>
      <c r="I201" s="22"/>
      <c r="J201" s="22"/>
      <c r="K201" s="22"/>
      <c r="L201" s="22"/>
      <c r="M201" s="22"/>
    </row>
    <row r="202" spans="1:16" s="11" customFormat="1" ht="15">
      <c r="A202" s="9"/>
      <c r="B202" s="9"/>
      <c r="C202" s="9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P202" s="17"/>
    </row>
    <row r="203" spans="1:16" s="11" customFormat="1" ht="18.75">
      <c r="A203" s="38" t="s">
        <v>165</v>
      </c>
      <c r="B203" s="39"/>
      <c r="C203" s="39">
        <f>SUM(C204+C282+C336+C348+C383+C395+C415+C435+C314+C302)</f>
        <v>720394</v>
      </c>
      <c r="D203" s="39">
        <f>SUM(D204+D282+D336+D348+D383+D395+D415+D435+D314)</f>
        <v>886465</v>
      </c>
      <c r="E203" s="39">
        <f>SUM(E204+E282+E336+E348+E383+E395+E415+E435+E314)</f>
        <v>1133146</v>
      </c>
      <c r="F203" s="39">
        <f>SUM(F204+F282+F336+F348+F383+F395+F415+F435+F314)</f>
        <v>822560.55</v>
      </c>
      <c r="G203" s="39" t="e">
        <f>SUM(G204+G282+G336+G348+G383+G395+G415+G435+G314)</f>
        <v>#DIV/0!</v>
      </c>
      <c r="H203" s="39">
        <f>SUM(H204+H282+H336+H348+H383+H395+H415+H435+H314)</f>
        <v>648.6378732857718</v>
      </c>
      <c r="I203" s="10"/>
      <c r="J203" s="10"/>
      <c r="K203" s="10"/>
      <c r="L203" s="10"/>
      <c r="M203" s="10"/>
      <c r="P203" s="17"/>
    </row>
    <row r="204" spans="1:16" s="35" customFormat="1" ht="18.75">
      <c r="A204" s="299" t="s">
        <v>166</v>
      </c>
      <c r="B204" s="300"/>
      <c r="C204" s="211">
        <f>C212+C223+C249+C278+C239+C263</f>
        <v>111589</v>
      </c>
      <c r="D204" s="211">
        <f>D212+D223+D249+D278+D239</f>
        <v>184360</v>
      </c>
      <c r="E204" s="211">
        <f>E212+E223+E249+E278+E239</f>
        <v>184360</v>
      </c>
      <c r="F204" s="211">
        <f>F212+F223+F249+F278+F239</f>
        <v>103658.25</v>
      </c>
      <c r="G204" s="211" t="e">
        <f>G212+G223+G249+G278</f>
        <v>#DIV/0!</v>
      </c>
      <c r="H204" s="211">
        <f>H212+H223+H249+H278</f>
        <v>0</v>
      </c>
      <c r="I204" s="21"/>
      <c r="J204" s="21"/>
      <c r="K204" s="21"/>
      <c r="L204" s="21"/>
      <c r="M204" s="21"/>
      <c r="P204" s="3"/>
    </row>
    <row r="205" spans="1:16" s="11" customFormat="1" ht="15">
      <c r="A205" s="11" t="s">
        <v>163</v>
      </c>
      <c r="B205" s="9"/>
      <c r="C205" s="9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P205" s="17"/>
    </row>
    <row r="206" spans="1:16" s="11" customFormat="1" ht="15">
      <c r="A206" s="259" t="s">
        <v>53</v>
      </c>
      <c r="B206" s="261" t="s">
        <v>0</v>
      </c>
      <c r="C206" s="261" t="s">
        <v>117</v>
      </c>
      <c r="D206" s="263" t="s">
        <v>134</v>
      </c>
      <c r="E206" s="263" t="s">
        <v>137</v>
      </c>
      <c r="F206" s="263" t="s">
        <v>136</v>
      </c>
      <c r="G206" s="263" t="s">
        <v>50</v>
      </c>
      <c r="H206" s="263" t="s">
        <v>50</v>
      </c>
      <c r="I206" s="10"/>
      <c r="J206" s="10"/>
      <c r="K206" s="10"/>
      <c r="L206" s="10"/>
      <c r="M206" s="10"/>
      <c r="P206" s="17"/>
    </row>
    <row r="207" spans="1:16" s="11" customFormat="1" ht="15">
      <c r="A207" s="260"/>
      <c r="B207" s="262"/>
      <c r="C207" s="262"/>
      <c r="D207" s="264"/>
      <c r="E207" s="264"/>
      <c r="F207" s="264"/>
      <c r="G207" s="264"/>
      <c r="H207" s="264"/>
      <c r="I207" s="10"/>
      <c r="J207" s="10"/>
      <c r="K207" s="10"/>
      <c r="L207" s="10"/>
      <c r="M207" s="10"/>
      <c r="P207" s="17"/>
    </row>
    <row r="208" spans="1:16" s="11" customFormat="1" ht="15" customHeight="1">
      <c r="A208" s="266">
        <v>1</v>
      </c>
      <c r="B208" s="266"/>
      <c r="C208" s="62">
        <v>2</v>
      </c>
      <c r="D208" s="63">
        <v>3</v>
      </c>
      <c r="E208" s="63">
        <v>4</v>
      </c>
      <c r="F208" s="63">
        <v>5</v>
      </c>
      <c r="G208" s="63" t="s">
        <v>51</v>
      </c>
      <c r="H208" s="63" t="s">
        <v>52</v>
      </c>
      <c r="I208" s="10"/>
      <c r="J208" s="10"/>
      <c r="K208" s="10"/>
      <c r="L208" s="10"/>
      <c r="M208" s="10"/>
      <c r="P208" s="17"/>
    </row>
    <row r="209" spans="1:16" s="35" customFormat="1" ht="17.25" customHeight="1">
      <c r="A209" s="166">
        <v>32</v>
      </c>
      <c r="B209" s="145" t="s">
        <v>8</v>
      </c>
      <c r="C209" s="174">
        <f>SUM(C210)</f>
        <v>0</v>
      </c>
      <c r="D209" s="174">
        <f>SUM(D210)</f>
        <v>5000</v>
      </c>
      <c r="E209" s="174">
        <f>SUM(E210)</f>
        <v>5000</v>
      </c>
      <c r="F209" s="174">
        <f>SUM(F210)</f>
        <v>0</v>
      </c>
      <c r="G209" s="163" t="e">
        <f>F209/C209*100</f>
        <v>#DIV/0!</v>
      </c>
      <c r="H209" s="164">
        <f>F209/E209*100</f>
        <v>0</v>
      </c>
      <c r="I209" s="21"/>
      <c r="J209" s="21"/>
      <c r="K209" s="21"/>
      <c r="L209" s="21"/>
      <c r="M209" s="21"/>
      <c r="P209" s="3"/>
    </row>
    <row r="210" spans="1:16" s="35" customFormat="1" ht="17.25" customHeight="1">
      <c r="A210" s="170">
        <v>322</v>
      </c>
      <c r="B210" s="131" t="s">
        <v>11</v>
      </c>
      <c r="C210" s="175">
        <f>SUM(C211:C211)</f>
        <v>0</v>
      </c>
      <c r="D210" s="175">
        <f>SUM(D211)</f>
        <v>5000</v>
      </c>
      <c r="E210" s="175">
        <f>SUM(E211:E211)</f>
        <v>5000</v>
      </c>
      <c r="F210" s="175">
        <f>SUM(F211:F211)</f>
        <v>0</v>
      </c>
      <c r="G210" s="172" t="e">
        <f>F210/C210*100</f>
        <v>#DIV/0!</v>
      </c>
      <c r="H210" s="173">
        <f>F210/E210*100</f>
        <v>0</v>
      </c>
      <c r="I210" s="21"/>
      <c r="J210" s="21"/>
      <c r="K210" s="21"/>
      <c r="L210" s="21"/>
      <c r="M210" s="21"/>
      <c r="P210" s="3"/>
    </row>
    <row r="211" spans="1:16" s="35" customFormat="1" ht="17.25" customHeight="1">
      <c r="A211" s="18" t="s">
        <v>60</v>
      </c>
      <c r="B211" s="19" t="s">
        <v>12</v>
      </c>
      <c r="C211" s="104">
        <v>0</v>
      </c>
      <c r="D211" s="56">
        <v>5000</v>
      </c>
      <c r="E211" s="56">
        <v>5000</v>
      </c>
      <c r="F211" s="102">
        <v>0</v>
      </c>
      <c r="G211" s="161" t="e">
        <f>F211/C211*100</f>
        <v>#DIV/0!</v>
      </c>
      <c r="H211" s="162">
        <f>F211/E211*100</f>
        <v>0</v>
      </c>
      <c r="I211" s="21"/>
      <c r="J211" s="21"/>
      <c r="K211" s="21"/>
      <c r="L211" s="21"/>
      <c r="M211" s="21"/>
      <c r="P211" s="3"/>
    </row>
    <row r="212" spans="1:16" s="11" customFormat="1" ht="36" customHeight="1">
      <c r="A212" s="295" t="s">
        <v>3</v>
      </c>
      <c r="B212" s="296"/>
      <c r="C212" s="178">
        <f>SUM(C209,)</f>
        <v>0</v>
      </c>
      <c r="D212" s="178">
        <f>SUM(D209,)</f>
        <v>5000</v>
      </c>
      <c r="E212" s="178">
        <f>SUM(E209,)</f>
        <v>5000</v>
      </c>
      <c r="F212" s="178">
        <f>SUM(F209,)</f>
        <v>0</v>
      </c>
      <c r="G212" s="163" t="e">
        <f>F212/C212*100</f>
        <v>#DIV/0!</v>
      </c>
      <c r="H212" s="164">
        <f>F212/E212*100</f>
        <v>0</v>
      </c>
      <c r="I212" s="10"/>
      <c r="J212" s="10"/>
      <c r="K212" s="10"/>
      <c r="L212" s="10"/>
      <c r="M212" s="10"/>
      <c r="P212" s="17"/>
    </row>
    <row r="213" spans="2:16" s="11" customFormat="1" ht="15">
      <c r="B213" s="9"/>
      <c r="C213" s="9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P213" s="17"/>
    </row>
    <row r="214" spans="2:16" s="11" customFormat="1" ht="15">
      <c r="B214" s="9"/>
      <c r="C214" s="9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P214" s="17"/>
    </row>
    <row r="215" spans="1:13" s="35" customFormat="1" ht="18.75">
      <c r="A215" s="299"/>
      <c r="B215" s="300"/>
      <c r="C215" s="211"/>
      <c r="D215" s="211"/>
      <c r="E215" s="211"/>
      <c r="F215" s="211"/>
      <c r="G215" s="8"/>
      <c r="H215" s="8"/>
      <c r="I215" s="21"/>
      <c r="J215" s="21"/>
      <c r="K215" s="21"/>
      <c r="L215" s="21"/>
      <c r="M215" s="21"/>
    </row>
    <row r="216" spans="1:13" s="35" customFormat="1" ht="15">
      <c r="A216" s="11" t="s">
        <v>167</v>
      </c>
      <c r="B216" s="9"/>
      <c r="C216" s="9"/>
      <c r="D216" s="10"/>
      <c r="E216" s="10"/>
      <c r="F216" s="10"/>
      <c r="G216" s="10"/>
      <c r="H216" s="10"/>
      <c r="I216" s="21"/>
      <c r="J216" s="21"/>
      <c r="K216" s="21"/>
      <c r="L216" s="21"/>
      <c r="M216" s="21"/>
    </row>
    <row r="217" spans="1:13" s="35" customFormat="1" ht="15">
      <c r="A217" s="259" t="s">
        <v>53</v>
      </c>
      <c r="B217" s="261" t="s">
        <v>0</v>
      </c>
      <c r="C217" s="261" t="s">
        <v>117</v>
      </c>
      <c r="D217" s="263" t="s">
        <v>134</v>
      </c>
      <c r="E217" s="263" t="s">
        <v>137</v>
      </c>
      <c r="F217" s="263" t="s">
        <v>136</v>
      </c>
      <c r="G217" s="263" t="s">
        <v>50</v>
      </c>
      <c r="H217" s="263" t="s">
        <v>50</v>
      </c>
      <c r="I217" s="21"/>
      <c r="J217" s="21"/>
      <c r="K217" s="21"/>
      <c r="L217" s="21"/>
      <c r="M217" s="21"/>
    </row>
    <row r="218" spans="1:16" s="11" customFormat="1" ht="15">
      <c r="A218" s="260"/>
      <c r="B218" s="262"/>
      <c r="C218" s="262"/>
      <c r="D218" s="264"/>
      <c r="E218" s="264"/>
      <c r="F218" s="264"/>
      <c r="G218" s="264"/>
      <c r="H218" s="264"/>
      <c r="I218" s="10"/>
      <c r="J218" s="10"/>
      <c r="K218" s="10"/>
      <c r="L218" s="10"/>
      <c r="M218" s="10"/>
      <c r="P218" s="17"/>
    </row>
    <row r="219" spans="1:16" s="11" customFormat="1" ht="15">
      <c r="A219" s="266">
        <v>1</v>
      </c>
      <c r="B219" s="266"/>
      <c r="C219" s="62">
        <v>2</v>
      </c>
      <c r="D219" s="63">
        <v>3</v>
      </c>
      <c r="E219" s="63">
        <v>4</v>
      </c>
      <c r="F219" s="63">
        <v>5</v>
      </c>
      <c r="G219" s="63" t="s">
        <v>51</v>
      </c>
      <c r="H219" s="63" t="s">
        <v>52</v>
      </c>
      <c r="I219" s="10"/>
      <c r="J219" s="10"/>
      <c r="K219" s="10"/>
      <c r="L219" s="10"/>
      <c r="M219" s="10"/>
      <c r="P219" s="17"/>
    </row>
    <row r="220" spans="1:16" s="35" customFormat="1" ht="15">
      <c r="A220" s="166">
        <v>32</v>
      </c>
      <c r="B220" s="145" t="s">
        <v>8</v>
      </c>
      <c r="C220" s="174">
        <f>SUM(C221)</f>
        <v>4465</v>
      </c>
      <c r="D220" s="174">
        <f>SUM(D221)</f>
        <v>28000</v>
      </c>
      <c r="E220" s="174">
        <f>SUM(E221)</f>
        <v>28000</v>
      </c>
      <c r="F220" s="174">
        <f>SUM(F221)</f>
        <v>0</v>
      </c>
      <c r="G220" s="163">
        <f>F220/C220*100</f>
        <v>0</v>
      </c>
      <c r="H220" s="164">
        <f>F220/E220*100</f>
        <v>0</v>
      </c>
      <c r="I220" s="21"/>
      <c r="J220" s="21"/>
      <c r="K220" s="21"/>
      <c r="L220" s="21"/>
      <c r="M220" s="21"/>
      <c r="P220" s="3"/>
    </row>
    <row r="221" spans="1:16" s="11" customFormat="1" ht="15">
      <c r="A221" s="158">
        <v>322</v>
      </c>
      <c r="B221" s="159" t="s">
        <v>18</v>
      </c>
      <c r="C221" s="160">
        <f>SUM(C222:C222)</f>
        <v>4465</v>
      </c>
      <c r="D221" s="160">
        <f>SUM(D222:D222)</f>
        <v>28000</v>
      </c>
      <c r="E221" s="160">
        <f>SUM(E222:E222)</f>
        <v>28000</v>
      </c>
      <c r="F221" s="160">
        <f>SUM(F222:F222)</f>
        <v>0</v>
      </c>
      <c r="G221" s="172">
        <v>0</v>
      </c>
      <c r="H221" s="173">
        <v>0</v>
      </c>
      <c r="I221" s="10"/>
      <c r="J221" s="10"/>
      <c r="K221" s="10"/>
      <c r="L221" s="10"/>
      <c r="M221" s="10"/>
      <c r="P221" s="17"/>
    </row>
    <row r="222" spans="1:16" s="11" customFormat="1" ht="15">
      <c r="A222" s="121">
        <v>3221</v>
      </c>
      <c r="B222" s="61" t="s">
        <v>84</v>
      </c>
      <c r="C222" s="120">
        <v>4465</v>
      </c>
      <c r="D222" s="21">
        <v>28000</v>
      </c>
      <c r="E222" s="21">
        <v>28000</v>
      </c>
      <c r="F222" s="21">
        <v>0</v>
      </c>
      <c r="G222" s="161">
        <v>0</v>
      </c>
      <c r="H222" s="162">
        <v>0</v>
      </c>
      <c r="I222" s="10"/>
      <c r="J222" s="10"/>
      <c r="K222" s="10"/>
      <c r="L222" s="10"/>
      <c r="M222" s="10"/>
      <c r="P222" s="17"/>
    </row>
    <row r="223" spans="1:16" s="11" customFormat="1" ht="15">
      <c r="A223" s="295" t="s">
        <v>3</v>
      </c>
      <c r="B223" s="296"/>
      <c r="C223" s="178">
        <f>SUM(C220)</f>
        <v>4465</v>
      </c>
      <c r="D223" s="178">
        <f>SUM(D220)</f>
        <v>28000</v>
      </c>
      <c r="E223" s="178">
        <f>SUM(E220)</f>
        <v>28000</v>
      </c>
      <c r="F223" s="178">
        <f>SUM(F220)</f>
        <v>0</v>
      </c>
      <c r="G223" s="163">
        <f>F223/C223*100</f>
        <v>0</v>
      </c>
      <c r="H223" s="164">
        <f>F223/E223*100</f>
        <v>0</v>
      </c>
      <c r="I223" s="10"/>
      <c r="J223" s="10"/>
      <c r="K223" s="10"/>
      <c r="L223" s="10"/>
      <c r="M223" s="10"/>
      <c r="P223" s="17"/>
    </row>
    <row r="224" spans="1:16" s="11" customFormat="1" ht="15">
      <c r="A224" s="219"/>
      <c r="B224" s="219"/>
      <c r="C224" s="220"/>
      <c r="D224" s="220"/>
      <c r="E224" s="220"/>
      <c r="F224" s="220"/>
      <c r="G224" s="15"/>
      <c r="H224" s="15"/>
      <c r="I224" s="10"/>
      <c r="J224" s="10"/>
      <c r="K224" s="10"/>
      <c r="L224" s="10"/>
      <c r="M224" s="10"/>
      <c r="P224" s="17"/>
    </row>
    <row r="225" spans="1:13" s="35" customFormat="1" ht="15">
      <c r="A225" s="219"/>
      <c r="B225" s="219"/>
      <c r="C225" s="220"/>
      <c r="D225" s="220"/>
      <c r="E225" s="220"/>
      <c r="F225" s="220"/>
      <c r="G225" s="15"/>
      <c r="H225" s="15"/>
      <c r="I225" s="21"/>
      <c r="J225" s="21"/>
      <c r="K225" s="21"/>
      <c r="L225" s="21"/>
      <c r="M225" s="21"/>
    </row>
    <row r="226" spans="1:13" s="35" customFormat="1" ht="15">
      <c r="A226" s="11" t="s">
        <v>190</v>
      </c>
      <c r="B226" s="9"/>
      <c r="C226" s="9"/>
      <c r="D226" s="10"/>
      <c r="E226" s="10"/>
      <c r="F226" s="10"/>
      <c r="G226" s="10"/>
      <c r="H226" s="10"/>
      <c r="I226" s="21"/>
      <c r="J226" s="21"/>
      <c r="K226" s="21"/>
      <c r="L226" s="21"/>
      <c r="M226" s="21"/>
    </row>
    <row r="227" spans="1:13" s="35" customFormat="1" ht="15">
      <c r="A227" s="259" t="s">
        <v>53</v>
      </c>
      <c r="B227" s="261" t="s">
        <v>0</v>
      </c>
      <c r="C227" s="261" t="s">
        <v>117</v>
      </c>
      <c r="D227" s="263" t="s">
        <v>134</v>
      </c>
      <c r="E227" s="263" t="s">
        <v>137</v>
      </c>
      <c r="F227" s="263" t="s">
        <v>136</v>
      </c>
      <c r="G227" s="263" t="s">
        <v>50</v>
      </c>
      <c r="H227" s="263" t="s">
        <v>50</v>
      </c>
      <c r="I227" s="21"/>
      <c r="J227" s="21"/>
      <c r="K227" s="21"/>
      <c r="L227" s="21"/>
      <c r="M227" s="21"/>
    </row>
    <row r="228" spans="1:13" s="35" customFormat="1" ht="15">
      <c r="A228" s="260"/>
      <c r="B228" s="262"/>
      <c r="C228" s="262"/>
      <c r="D228" s="264"/>
      <c r="E228" s="264"/>
      <c r="F228" s="264"/>
      <c r="G228" s="264"/>
      <c r="H228" s="264"/>
      <c r="I228" s="21"/>
      <c r="J228" s="21"/>
      <c r="K228" s="21"/>
      <c r="L228" s="21"/>
      <c r="M228" s="21"/>
    </row>
    <row r="229" spans="1:13" s="35" customFormat="1" ht="15">
      <c r="A229" s="266">
        <v>1</v>
      </c>
      <c r="B229" s="266"/>
      <c r="C229" s="62">
        <v>2</v>
      </c>
      <c r="D229" s="63">
        <v>3</v>
      </c>
      <c r="E229" s="63">
        <v>4</v>
      </c>
      <c r="F229" s="63">
        <v>5</v>
      </c>
      <c r="G229" s="63" t="s">
        <v>51</v>
      </c>
      <c r="H229" s="63" t="s">
        <v>52</v>
      </c>
      <c r="I229" s="21"/>
      <c r="J229" s="21"/>
      <c r="K229" s="21"/>
      <c r="L229" s="21"/>
      <c r="M229" s="21"/>
    </row>
    <row r="230" spans="1:13" s="35" customFormat="1" ht="15">
      <c r="A230" s="166">
        <v>32</v>
      </c>
      <c r="B230" s="145" t="s">
        <v>8</v>
      </c>
      <c r="C230" s="174">
        <f>SUM(C231,)</f>
        <v>33634</v>
      </c>
      <c r="D230" s="174">
        <f>SUM(D231,)</f>
        <v>140000</v>
      </c>
      <c r="E230" s="174">
        <f>SUM(E231,)</f>
        <v>140000</v>
      </c>
      <c r="F230" s="174">
        <f>SUM(F231,)</f>
        <v>103658.25</v>
      </c>
      <c r="G230" s="163">
        <f>F230/C230*100</f>
        <v>308.1948326098591</v>
      </c>
      <c r="H230" s="164">
        <f>F230/E230*100</f>
        <v>74.04160714285715</v>
      </c>
      <c r="I230" s="21"/>
      <c r="J230" s="21"/>
      <c r="K230" s="21"/>
      <c r="L230" s="21"/>
      <c r="M230" s="21"/>
    </row>
    <row r="231" spans="1:13" s="35" customFormat="1" ht="15">
      <c r="A231" s="170">
        <v>322</v>
      </c>
      <c r="B231" s="131" t="s">
        <v>11</v>
      </c>
      <c r="C231" s="175">
        <f>SUM(C232:C235)</f>
        <v>33634</v>
      </c>
      <c r="D231" s="175">
        <f>SUM(D232:D235)</f>
        <v>140000</v>
      </c>
      <c r="E231" s="175">
        <f>SUM(E232:E235)</f>
        <v>140000</v>
      </c>
      <c r="F231" s="175">
        <f>SUM(F232:F235)</f>
        <v>103658.25</v>
      </c>
      <c r="G231" s="172">
        <f>F231/C231*100</f>
        <v>308.1948326098591</v>
      </c>
      <c r="H231" s="173">
        <f>F231/E231*100</f>
        <v>74.04160714285715</v>
      </c>
      <c r="I231" s="21"/>
      <c r="J231" s="21"/>
      <c r="K231" s="21"/>
      <c r="L231" s="21"/>
      <c r="M231" s="21"/>
    </row>
    <row r="232" spans="1:16" s="11" customFormat="1" ht="15">
      <c r="A232" s="18" t="s">
        <v>60</v>
      </c>
      <c r="B232" s="19" t="s">
        <v>12</v>
      </c>
      <c r="C232" s="104">
        <v>0</v>
      </c>
      <c r="D232" s="56">
        <v>3000</v>
      </c>
      <c r="E232" s="56">
        <v>3000</v>
      </c>
      <c r="F232" s="102">
        <v>0</v>
      </c>
      <c r="G232" s="161" t="e">
        <f>F232/C232*100</f>
        <v>#DIV/0!</v>
      </c>
      <c r="H232" s="162">
        <f>F232/E232*100</f>
        <v>0</v>
      </c>
      <c r="I232" s="10"/>
      <c r="J232" s="10"/>
      <c r="K232" s="10"/>
      <c r="L232" s="10"/>
      <c r="M232" s="10"/>
      <c r="P232" s="17"/>
    </row>
    <row r="233" spans="1:16" s="11" customFormat="1" ht="15">
      <c r="A233" s="18">
        <v>3222</v>
      </c>
      <c r="B233" s="19" t="s">
        <v>96</v>
      </c>
      <c r="C233" s="104">
        <v>33634</v>
      </c>
      <c r="D233" s="56">
        <v>130000</v>
      </c>
      <c r="E233" s="56">
        <v>130000</v>
      </c>
      <c r="F233" s="102">
        <v>96757</v>
      </c>
      <c r="G233" s="161">
        <f aca="true" t="shared" si="14" ref="G233:G238">F233/C233*100</f>
        <v>287.67616102753163</v>
      </c>
      <c r="H233" s="162">
        <f aca="true" t="shared" si="15" ref="H233:H238">F233/E233*100</f>
        <v>74.42846153846155</v>
      </c>
      <c r="I233" s="10"/>
      <c r="J233" s="10"/>
      <c r="K233" s="10"/>
      <c r="L233" s="10"/>
      <c r="M233" s="10"/>
      <c r="P233" s="17"/>
    </row>
    <row r="234" spans="1:16" s="11" customFormat="1" ht="30">
      <c r="A234" s="121">
        <v>3224</v>
      </c>
      <c r="B234" s="61" t="s">
        <v>191</v>
      </c>
      <c r="C234" s="222">
        <v>0</v>
      </c>
      <c r="D234" s="122">
        <v>0</v>
      </c>
      <c r="E234" s="122">
        <v>0</v>
      </c>
      <c r="F234" s="122">
        <v>3702.25</v>
      </c>
      <c r="G234" s="161" t="e">
        <f t="shared" si="14"/>
        <v>#DIV/0!</v>
      </c>
      <c r="H234" s="162">
        <v>0</v>
      </c>
      <c r="I234" s="10"/>
      <c r="J234" s="10"/>
      <c r="K234" s="10"/>
      <c r="L234" s="10"/>
      <c r="M234" s="10"/>
      <c r="P234" s="17"/>
    </row>
    <row r="235" spans="1:16" s="11" customFormat="1" ht="15">
      <c r="A235" s="121">
        <v>3225</v>
      </c>
      <c r="B235" s="61" t="s">
        <v>157</v>
      </c>
      <c r="C235" s="222">
        <v>0</v>
      </c>
      <c r="D235" s="122">
        <v>7000</v>
      </c>
      <c r="E235" s="122">
        <v>7000</v>
      </c>
      <c r="F235" s="122">
        <v>3199</v>
      </c>
      <c r="G235" s="161" t="e">
        <f t="shared" si="14"/>
        <v>#DIV/0!</v>
      </c>
      <c r="H235" s="162">
        <f t="shared" si="15"/>
        <v>45.7</v>
      </c>
      <c r="I235" s="10"/>
      <c r="J235" s="10"/>
      <c r="K235" s="10"/>
      <c r="L235" s="10"/>
      <c r="M235" s="10"/>
      <c r="P235" s="17"/>
    </row>
    <row r="236" spans="1:16" s="11" customFormat="1" ht="36" customHeight="1">
      <c r="A236" s="185">
        <v>42</v>
      </c>
      <c r="B236" s="186" t="s">
        <v>112</v>
      </c>
      <c r="C236" s="187">
        <f>C237</f>
        <v>0</v>
      </c>
      <c r="D236" s="187">
        <f>D237</f>
        <v>8000</v>
      </c>
      <c r="E236" s="187">
        <f>E237</f>
        <v>8000</v>
      </c>
      <c r="F236" s="187">
        <f>F237</f>
        <v>0</v>
      </c>
      <c r="G236" s="161" t="e">
        <f t="shared" si="14"/>
        <v>#DIV/0!</v>
      </c>
      <c r="H236" s="162">
        <f t="shared" si="15"/>
        <v>0</v>
      </c>
      <c r="I236" s="10"/>
      <c r="J236" s="10"/>
      <c r="K236" s="10"/>
      <c r="L236" s="10"/>
      <c r="M236" s="10"/>
      <c r="P236" s="17"/>
    </row>
    <row r="237" spans="1:16" s="11" customFormat="1" ht="15">
      <c r="A237" s="158">
        <v>422</v>
      </c>
      <c r="B237" s="159" t="s">
        <v>18</v>
      </c>
      <c r="C237" s="160">
        <f>SUM(C238:C238)</f>
        <v>0</v>
      </c>
      <c r="D237" s="160">
        <f>SUM(D238:D238)</f>
        <v>8000</v>
      </c>
      <c r="E237" s="160">
        <f>SUM(E238:E238)</f>
        <v>8000</v>
      </c>
      <c r="F237" s="160">
        <f>SUM(F238:F238)</f>
        <v>0</v>
      </c>
      <c r="G237" s="161" t="e">
        <f t="shared" si="14"/>
        <v>#DIV/0!</v>
      </c>
      <c r="H237" s="162">
        <f t="shared" si="15"/>
        <v>0</v>
      </c>
      <c r="I237" s="10"/>
      <c r="J237" s="10"/>
      <c r="K237" s="10"/>
      <c r="L237" s="10"/>
      <c r="M237" s="10"/>
      <c r="P237" s="17"/>
    </row>
    <row r="238" spans="1:16" s="11" customFormat="1" ht="14.25" customHeight="1">
      <c r="A238" s="121">
        <v>4221</v>
      </c>
      <c r="B238" s="61" t="s">
        <v>84</v>
      </c>
      <c r="C238" s="120"/>
      <c r="D238" s="21">
        <v>8000</v>
      </c>
      <c r="E238" s="21">
        <v>8000</v>
      </c>
      <c r="F238" s="21">
        <v>0</v>
      </c>
      <c r="G238" s="161" t="e">
        <f t="shared" si="14"/>
        <v>#DIV/0!</v>
      </c>
      <c r="H238" s="162">
        <f t="shared" si="15"/>
        <v>0</v>
      </c>
      <c r="I238" s="10"/>
      <c r="J238" s="10"/>
      <c r="K238" s="10"/>
      <c r="L238" s="10"/>
      <c r="M238" s="10"/>
      <c r="P238" s="17"/>
    </row>
    <row r="239" spans="1:16" s="11" customFormat="1" ht="14.25" customHeight="1">
      <c r="A239" s="295" t="s">
        <v>3</v>
      </c>
      <c r="B239" s="296"/>
      <c r="C239" s="178">
        <f>SUM(C236,C230)</f>
        <v>33634</v>
      </c>
      <c r="D239" s="178">
        <f>SUM(D236,D230)</f>
        <v>148000</v>
      </c>
      <c r="E239" s="178">
        <f>SUM(E236,E230)</f>
        <v>148000</v>
      </c>
      <c r="F239" s="178">
        <f>SUM(F236,F230)</f>
        <v>103658.25</v>
      </c>
      <c r="G239" s="163">
        <f>F239/C239*100</f>
        <v>308.1948326098591</v>
      </c>
      <c r="H239" s="164">
        <f>F239/E239*100</f>
        <v>70.0393581081081</v>
      </c>
      <c r="I239" s="10"/>
      <c r="J239" s="10"/>
      <c r="K239" s="10"/>
      <c r="L239" s="10"/>
      <c r="M239" s="10"/>
      <c r="P239" s="17"/>
    </row>
    <row r="240" spans="2:16" s="11" customFormat="1" ht="16.5" customHeight="1">
      <c r="B240" s="9"/>
      <c r="C240" s="9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P240" s="17"/>
    </row>
    <row r="241" spans="2:16" s="11" customFormat="1" ht="15">
      <c r="B241" s="9"/>
      <c r="C241" s="9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P241" s="17"/>
    </row>
    <row r="242" spans="1:16" s="11" customFormat="1" ht="15" customHeight="1">
      <c r="A242" s="11" t="s">
        <v>168</v>
      </c>
      <c r="B242" s="9"/>
      <c r="C242" s="9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P242" s="17"/>
    </row>
    <row r="243" spans="1:16" s="11" customFormat="1" ht="35.25" customHeight="1">
      <c r="A243" s="259" t="s">
        <v>53</v>
      </c>
      <c r="B243" s="261" t="s">
        <v>0</v>
      </c>
      <c r="C243" s="261" t="s">
        <v>117</v>
      </c>
      <c r="D243" s="263" t="s">
        <v>134</v>
      </c>
      <c r="E243" s="263" t="s">
        <v>137</v>
      </c>
      <c r="F243" s="263" t="s">
        <v>136</v>
      </c>
      <c r="G243" s="263" t="s">
        <v>50</v>
      </c>
      <c r="H243" s="263" t="s">
        <v>50</v>
      </c>
      <c r="I243" s="10"/>
      <c r="J243" s="10"/>
      <c r="K243" s="10"/>
      <c r="L243" s="10"/>
      <c r="M243" s="10"/>
      <c r="P243" s="17"/>
    </row>
    <row r="244" spans="1:16" s="11" customFormat="1" ht="15">
      <c r="A244" s="260"/>
      <c r="B244" s="262"/>
      <c r="C244" s="262"/>
      <c r="D244" s="264"/>
      <c r="E244" s="264"/>
      <c r="F244" s="264"/>
      <c r="G244" s="264"/>
      <c r="H244" s="264"/>
      <c r="I244" s="10"/>
      <c r="J244" s="10"/>
      <c r="K244" s="10"/>
      <c r="L244" s="10"/>
      <c r="M244" s="10"/>
      <c r="P244" s="17"/>
    </row>
    <row r="245" spans="1:16" s="11" customFormat="1" ht="15">
      <c r="A245" s="266">
        <v>1</v>
      </c>
      <c r="B245" s="266"/>
      <c r="C245" s="62">
        <v>2</v>
      </c>
      <c r="D245" s="63">
        <v>3</v>
      </c>
      <c r="E245" s="63">
        <v>4</v>
      </c>
      <c r="F245" s="63">
        <v>5</v>
      </c>
      <c r="G245" s="63" t="s">
        <v>51</v>
      </c>
      <c r="H245" s="63" t="s">
        <v>52</v>
      </c>
      <c r="I245" s="10"/>
      <c r="J245" s="10"/>
      <c r="K245" s="10"/>
      <c r="L245" s="10"/>
      <c r="M245" s="10"/>
      <c r="P245" s="17"/>
    </row>
    <row r="246" spans="1:16" s="11" customFormat="1" ht="15">
      <c r="A246" s="166">
        <v>32</v>
      </c>
      <c r="B246" s="145" t="s">
        <v>8</v>
      </c>
      <c r="C246" s="174">
        <f>C248</f>
        <v>0</v>
      </c>
      <c r="D246" s="174">
        <f>D248</f>
        <v>1360</v>
      </c>
      <c r="E246" s="174">
        <f>E248</f>
        <v>1360</v>
      </c>
      <c r="F246" s="174">
        <f>F248</f>
        <v>0</v>
      </c>
      <c r="G246" s="163" t="e">
        <f>F246/C246*100</f>
        <v>#DIV/0!</v>
      </c>
      <c r="H246" s="164">
        <f>F246/E246*100</f>
        <v>0</v>
      </c>
      <c r="I246" s="10"/>
      <c r="J246" s="10"/>
      <c r="K246" s="10"/>
      <c r="L246" s="10"/>
      <c r="M246" s="10"/>
      <c r="P246" s="17"/>
    </row>
    <row r="247" spans="1:13" s="35" customFormat="1" ht="15">
      <c r="A247" s="170">
        <v>321</v>
      </c>
      <c r="B247" s="131" t="s">
        <v>9</v>
      </c>
      <c r="C247" s="175">
        <f>SUM(C248:C248)</f>
        <v>0</v>
      </c>
      <c r="D247" s="175">
        <f>SUM(D248:D248)</f>
        <v>1360</v>
      </c>
      <c r="E247" s="175">
        <f>SUM(E248:E248)</f>
        <v>1360</v>
      </c>
      <c r="F247" s="175">
        <f>SUM(F248:F248)</f>
        <v>0</v>
      </c>
      <c r="G247" s="172" t="e">
        <f>F247/C247*100</f>
        <v>#DIV/0!</v>
      </c>
      <c r="H247" s="173">
        <v>0</v>
      </c>
      <c r="I247" s="21"/>
      <c r="J247" s="21"/>
      <c r="K247" s="21"/>
      <c r="L247" s="21"/>
      <c r="M247" s="21"/>
    </row>
    <row r="248" spans="1:13" s="73" customFormat="1" ht="15" customHeight="1">
      <c r="A248" s="18">
        <v>3214</v>
      </c>
      <c r="B248" s="19" t="s">
        <v>156</v>
      </c>
      <c r="C248" s="75">
        <v>0</v>
      </c>
      <c r="D248" s="29">
        <v>1360</v>
      </c>
      <c r="E248" s="29">
        <v>1360</v>
      </c>
      <c r="F248" s="29">
        <v>0</v>
      </c>
      <c r="G248" s="161">
        <v>0</v>
      </c>
      <c r="H248" s="162">
        <v>0</v>
      </c>
      <c r="I248" s="21"/>
      <c r="J248" s="21"/>
      <c r="K248" s="21"/>
      <c r="L248" s="21"/>
      <c r="M248" s="21"/>
    </row>
    <row r="249" spans="1:13" s="73" customFormat="1" ht="15" customHeight="1">
      <c r="A249" s="295" t="s">
        <v>3</v>
      </c>
      <c r="B249" s="296"/>
      <c r="C249" s="178">
        <f>SUM(C246)</f>
        <v>0</v>
      </c>
      <c r="D249" s="178">
        <f>SUM(D246)</f>
        <v>1360</v>
      </c>
      <c r="E249" s="178">
        <f>SUM(E246)</f>
        <v>1360</v>
      </c>
      <c r="F249" s="178">
        <f>SUM(F246)</f>
        <v>0</v>
      </c>
      <c r="G249" s="163" t="e">
        <f>F249/C249*100</f>
        <v>#DIV/0!</v>
      </c>
      <c r="H249" s="164">
        <f>F249/E249*100</f>
        <v>0</v>
      </c>
      <c r="I249" s="21"/>
      <c r="J249" s="21"/>
      <c r="K249" s="21"/>
      <c r="L249" s="21"/>
      <c r="M249" s="21"/>
    </row>
    <row r="250" spans="2:16" s="11" customFormat="1" ht="15">
      <c r="B250" s="9"/>
      <c r="C250" s="9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P250" s="17"/>
    </row>
    <row r="251" spans="1:13" s="73" customFormat="1" ht="15" customHeight="1">
      <c r="A251" s="11" t="s">
        <v>234</v>
      </c>
      <c r="B251" s="9"/>
      <c r="C251" s="9"/>
      <c r="D251" s="10"/>
      <c r="E251" s="10"/>
      <c r="F251" s="10"/>
      <c r="G251" s="10"/>
      <c r="H251" s="10"/>
      <c r="I251" s="21"/>
      <c r="J251" s="21"/>
      <c r="K251" s="21"/>
      <c r="L251" s="21"/>
      <c r="M251" s="21"/>
    </row>
    <row r="252" spans="1:13" s="73" customFormat="1" ht="15" customHeight="1">
      <c r="A252" s="259" t="s">
        <v>53</v>
      </c>
      <c r="B252" s="261" t="s">
        <v>0</v>
      </c>
      <c r="C252" s="261" t="s">
        <v>117</v>
      </c>
      <c r="D252" s="263" t="s">
        <v>134</v>
      </c>
      <c r="E252" s="263" t="s">
        <v>137</v>
      </c>
      <c r="F252" s="263" t="s">
        <v>136</v>
      </c>
      <c r="G252" s="263" t="s">
        <v>50</v>
      </c>
      <c r="H252" s="263" t="s">
        <v>50</v>
      </c>
      <c r="I252" s="21"/>
      <c r="J252" s="21"/>
      <c r="K252" s="21"/>
      <c r="L252" s="21"/>
      <c r="M252" s="21"/>
    </row>
    <row r="253" spans="1:16" s="11" customFormat="1" ht="15">
      <c r="A253" s="260"/>
      <c r="B253" s="262"/>
      <c r="C253" s="262"/>
      <c r="D253" s="264"/>
      <c r="E253" s="264"/>
      <c r="F253" s="264"/>
      <c r="G253" s="264"/>
      <c r="H253" s="264"/>
      <c r="I253" s="10"/>
      <c r="J253" s="10"/>
      <c r="K253" s="10"/>
      <c r="L253" s="10"/>
      <c r="M253" s="10"/>
      <c r="P253" s="17"/>
    </row>
    <row r="254" spans="1:13" s="73" customFormat="1" ht="15" customHeight="1">
      <c r="A254" s="266">
        <v>1</v>
      </c>
      <c r="B254" s="266"/>
      <c r="C254" s="62">
        <v>2</v>
      </c>
      <c r="D254" s="63">
        <v>3</v>
      </c>
      <c r="E254" s="63">
        <v>4</v>
      </c>
      <c r="F254" s="63">
        <v>5</v>
      </c>
      <c r="G254" s="63" t="s">
        <v>51</v>
      </c>
      <c r="H254" s="63" t="s">
        <v>52</v>
      </c>
      <c r="I254" s="21"/>
      <c r="J254" s="21"/>
      <c r="K254" s="21"/>
      <c r="L254" s="21"/>
      <c r="M254" s="21"/>
    </row>
    <row r="255" spans="1:16" s="11" customFormat="1" ht="15">
      <c r="A255" s="166">
        <v>32</v>
      </c>
      <c r="B255" s="145" t="s">
        <v>8</v>
      </c>
      <c r="C255" s="174">
        <f>C256+C259</f>
        <v>43820</v>
      </c>
      <c r="D255" s="174">
        <f>D256+D259</f>
        <v>0</v>
      </c>
      <c r="E255" s="174">
        <f>E256+E259</f>
        <v>0</v>
      </c>
      <c r="F255" s="174">
        <f>F256+F259</f>
        <v>0</v>
      </c>
      <c r="G255" s="163">
        <f>F255/C255*100</f>
        <v>0</v>
      </c>
      <c r="H255" s="164" t="e">
        <f>F255/E255*100</f>
        <v>#DIV/0!</v>
      </c>
      <c r="I255" s="10"/>
      <c r="J255" s="10"/>
      <c r="K255" s="10"/>
      <c r="L255" s="10"/>
      <c r="M255" s="10"/>
      <c r="P255" s="17"/>
    </row>
    <row r="256" spans="1:13" s="35" customFormat="1" ht="15">
      <c r="A256" s="18" t="s">
        <v>60</v>
      </c>
      <c r="B256" s="19" t="s">
        <v>12</v>
      </c>
      <c r="C256" s="104">
        <v>37140</v>
      </c>
      <c r="D256" s="56">
        <v>0</v>
      </c>
      <c r="E256" s="56">
        <v>0</v>
      </c>
      <c r="F256" s="102">
        <v>0</v>
      </c>
      <c r="G256" s="161">
        <f>F256/C256*100</f>
        <v>0</v>
      </c>
      <c r="H256" s="162" t="e">
        <f>F256/E256*100</f>
        <v>#DIV/0!</v>
      </c>
      <c r="I256" s="21"/>
      <c r="J256" s="21"/>
      <c r="K256" s="21"/>
      <c r="L256" s="21"/>
      <c r="M256" s="21"/>
    </row>
    <row r="257" spans="1:13" s="35" customFormat="1" ht="15">
      <c r="A257" s="18">
        <v>3222</v>
      </c>
      <c r="B257" s="19" t="s">
        <v>96</v>
      </c>
      <c r="C257" s="104">
        <v>0</v>
      </c>
      <c r="D257" s="56">
        <v>0</v>
      </c>
      <c r="E257" s="56">
        <v>0</v>
      </c>
      <c r="F257" s="102">
        <v>0</v>
      </c>
      <c r="G257" s="161" t="e">
        <f aca="true" t="shared" si="16" ref="G257:G262">F257/C257*100</f>
        <v>#DIV/0!</v>
      </c>
      <c r="H257" s="162" t="e">
        <f>F257/E257*100</f>
        <v>#DIV/0!</v>
      </c>
      <c r="I257" s="21"/>
      <c r="J257" s="21"/>
      <c r="K257" s="21"/>
      <c r="L257" s="21"/>
      <c r="M257" s="21"/>
    </row>
    <row r="258" spans="1:16" s="11" customFormat="1" ht="30">
      <c r="A258" s="121">
        <v>3224</v>
      </c>
      <c r="B258" s="61" t="s">
        <v>191</v>
      </c>
      <c r="C258" s="222">
        <v>0</v>
      </c>
      <c r="D258" s="122">
        <v>0</v>
      </c>
      <c r="E258" s="122">
        <v>0</v>
      </c>
      <c r="F258" s="122">
        <v>0</v>
      </c>
      <c r="G258" s="161" t="e">
        <f t="shared" si="16"/>
        <v>#DIV/0!</v>
      </c>
      <c r="H258" s="162">
        <v>0</v>
      </c>
      <c r="I258" s="10"/>
      <c r="J258" s="10"/>
      <c r="K258" s="10"/>
      <c r="L258" s="10"/>
      <c r="M258" s="10"/>
      <c r="P258" s="17"/>
    </row>
    <row r="259" spans="1:16" s="11" customFormat="1" ht="15">
      <c r="A259" s="121">
        <v>3225</v>
      </c>
      <c r="B259" s="61" t="s">
        <v>157</v>
      </c>
      <c r="C259" s="222">
        <v>6680</v>
      </c>
      <c r="D259" s="122">
        <v>0</v>
      </c>
      <c r="E259" s="122">
        <v>0</v>
      </c>
      <c r="F259" s="122">
        <v>0</v>
      </c>
      <c r="G259" s="161">
        <f t="shared" si="16"/>
        <v>0</v>
      </c>
      <c r="H259" s="162" t="e">
        <f>F259/E259*100</f>
        <v>#DIV/0!</v>
      </c>
      <c r="I259" s="10"/>
      <c r="J259" s="10"/>
      <c r="K259" s="10"/>
      <c r="L259" s="10"/>
      <c r="M259" s="10"/>
      <c r="P259" s="17"/>
    </row>
    <row r="260" spans="1:16" s="11" customFormat="1" ht="15">
      <c r="A260" s="185">
        <v>42</v>
      </c>
      <c r="B260" s="186" t="s">
        <v>112</v>
      </c>
      <c r="C260" s="187">
        <f>C261</f>
        <v>24380</v>
      </c>
      <c r="D260" s="187">
        <f>D261</f>
        <v>0</v>
      </c>
      <c r="E260" s="187">
        <f>E261</f>
        <v>0</v>
      </c>
      <c r="F260" s="187">
        <f>F261</f>
        <v>0</v>
      </c>
      <c r="G260" s="161">
        <f t="shared" si="16"/>
        <v>0</v>
      </c>
      <c r="H260" s="162" t="e">
        <f>F260/E260*100</f>
        <v>#DIV/0!</v>
      </c>
      <c r="I260" s="10"/>
      <c r="J260" s="10"/>
      <c r="K260" s="10"/>
      <c r="L260" s="10"/>
      <c r="M260" s="10"/>
      <c r="P260" s="17"/>
    </row>
    <row r="261" spans="1:16" s="11" customFormat="1" ht="15">
      <c r="A261" s="158">
        <v>422</v>
      </c>
      <c r="B261" s="159" t="s">
        <v>18</v>
      </c>
      <c r="C261" s="160">
        <f>SUM(C262:C262)</f>
        <v>24380</v>
      </c>
      <c r="D261" s="160">
        <f>SUM(D262:D262)</f>
        <v>0</v>
      </c>
      <c r="E261" s="160">
        <f>SUM(E262:E262)</f>
        <v>0</v>
      </c>
      <c r="F261" s="160">
        <f>SUM(F262:F262)</f>
        <v>0</v>
      </c>
      <c r="G261" s="161">
        <f t="shared" si="16"/>
        <v>0</v>
      </c>
      <c r="H261" s="162" t="e">
        <f>F261/E261*100</f>
        <v>#DIV/0!</v>
      </c>
      <c r="I261" s="10"/>
      <c r="J261" s="10"/>
      <c r="K261" s="10"/>
      <c r="L261" s="10"/>
      <c r="M261" s="10"/>
      <c r="P261" s="17"/>
    </row>
    <row r="262" spans="1:16" s="11" customFormat="1" ht="14.25" customHeight="1">
      <c r="A262" s="121">
        <v>4221</v>
      </c>
      <c r="B262" s="61" t="s">
        <v>84</v>
      </c>
      <c r="C262" s="120">
        <v>24380</v>
      </c>
      <c r="D262" s="21">
        <v>0</v>
      </c>
      <c r="E262" s="21">
        <v>0</v>
      </c>
      <c r="F262" s="21">
        <v>0</v>
      </c>
      <c r="G262" s="161">
        <f t="shared" si="16"/>
        <v>0</v>
      </c>
      <c r="H262" s="162" t="e">
        <f>F262/E262*100</f>
        <v>#DIV/0!</v>
      </c>
      <c r="I262" s="10"/>
      <c r="J262" s="10"/>
      <c r="K262" s="10"/>
      <c r="L262" s="10"/>
      <c r="M262" s="10"/>
      <c r="P262" s="17"/>
    </row>
    <row r="263" spans="1:16" s="11" customFormat="1" ht="30" customHeight="1">
      <c r="A263" s="295" t="s">
        <v>3</v>
      </c>
      <c r="B263" s="296"/>
      <c r="C263" s="178">
        <f>SUM(C255+C260)</f>
        <v>68200</v>
      </c>
      <c r="D263" s="178">
        <f>SUM(D255)</f>
        <v>0</v>
      </c>
      <c r="E263" s="178">
        <f>SUM(E255)</f>
        <v>0</v>
      </c>
      <c r="F263" s="178">
        <f>SUM(F255)</f>
        <v>0</v>
      </c>
      <c r="G263" s="163">
        <f>F263/C263*100</f>
        <v>0</v>
      </c>
      <c r="H263" s="164" t="e">
        <f>F263/E263*100</f>
        <v>#DIV/0!</v>
      </c>
      <c r="I263" s="10"/>
      <c r="J263" s="10"/>
      <c r="K263" s="10"/>
      <c r="L263" s="10"/>
      <c r="M263" s="10"/>
      <c r="P263" s="17"/>
    </row>
    <row r="264" spans="2:16" s="11" customFormat="1" ht="15">
      <c r="B264" s="9"/>
      <c r="C264" s="9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P264" s="17"/>
    </row>
    <row r="265" spans="2:16" s="11" customFormat="1" ht="15">
      <c r="B265" s="9"/>
      <c r="C265" s="9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P265" s="17"/>
    </row>
    <row r="266" spans="1:16" s="11" customFormat="1" ht="15">
      <c r="A266" s="11" t="s">
        <v>169</v>
      </c>
      <c r="B266" s="9"/>
      <c r="C266" s="9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P266" s="17"/>
    </row>
    <row r="267" spans="1:13" s="35" customFormat="1" ht="15">
      <c r="A267" s="259" t="s">
        <v>53</v>
      </c>
      <c r="B267" s="261" t="s">
        <v>0</v>
      </c>
      <c r="C267" s="261" t="s">
        <v>117</v>
      </c>
      <c r="D267" s="263" t="s">
        <v>134</v>
      </c>
      <c r="E267" s="263" t="s">
        <v>137</v>
      </c>
      <c r="F267" s="263" t="s">
        <v>136</v>
      </c>
      <c r="G267" s="263" t="s">
        <v>50</v>
      </c>
      <c r="H267" s="263" t="s">
        <v>50</v>
      </c>
      <c r="I267" s="21"/>
      <c r="J267" s="21"/>
      <c r="K267" s="21"/>
      <c r="L267" s="21"/>
      <c r="M267" s="21"/>
    </row>
    <row r="268" spans="1:16" s="11" customFormat="1" ht="15">
      <c r="A268" s="260"/>
      <c r="B268" s="262"/>
      <c r="C268" s="262"/>
      <c r="D268" s="264"/>
      <c r="E268" s="264"/>
      <c r="F268" s="264"/>
      <c r="G268" s="264"/>
      <c r="H268" s="264"/>
      <c r="I268" s="10"/>
      <c r="J268" s="10"/>
      <c r="K268" s="10"/>
      <c r="L268" s="10"/>
      <c r="M268" s="10"/>
      <c r="P268" s="17"/>
    </row>
    <row r="269" spans="1:16" s="11" customFormat="1" ht="15">
      <c r="A269" s="266">
        <v>1</v>
      </c>
      <c r="B269" s="266"/>
      <c r="C269" s="62">
        <v>2</v>
      </c>
      <c r="D269" s="63">
        <v>3</v>
      </c>
      <c r="E269" s="63">
        <v>4</v>
      </c>
      <c r="F269" s="63">
        <v>5</v>
      </c>
      <c r="G269" s="63" t="s">
        <v>51</v>
      </c>
      <c r="H269" s="63" t="s">
        <v>52</v>
      </c>
      <c r="I269" s="10"/>
      <c r="J269" s="10"/>
      <c r="K269" s="10"/>
      <c r="L269" s="10"/>
      <c r="M269" s="10"/>
      <c r="P269" s="17"/>
    </row>
    <row r="270" spans="1:16" s="11" customFormat="1" ht="15">
      <c r="A270" s="166">
        <v>32</v>
      </c>
      <c r="B270" s="145" t="s">
        <v>8</v>
      </c>
      <c r="C270" s="174">
        <f>C271+C273</f>
        <v>1590</v>
      </c>
      <c r="D270" s="174">
        <f>D272</f>
        <v>2000</v>
      </c>
      <c r="E270" s="174">
        <f>E272</f>
        <v>2000</v>
      </c>
      <c r="F270" s="174">
        <f>F272</f>
        <v>0</v>
      </c>
      <c r="G270" s="163">
        <f>F270/C270*100</f>
        <v>0</v>
      </c>
      <c r="H270" s="164">
        <f>F270/E270*100</f>
        <v>0</v>
      </c>
      <c r="I270" s="10"/>
      <c r="J270" s="10"/>
      <c r="K270" s="10"/>
      <c r="L270" s="10"/>
      <c r="M270" s="10"/>
      <c r="P270" s="17"/>
    </row>
    <row r="271" spans="1:16" s="11" customFormat="1" ht="15" customHeight="1">
      <c r="A271" s="170">
        <v>322</v>
      </c>
      <c r="B271" s="131" t="s">
        <v>11</v>
      </c>
      <c r="C271" s="175">
        <f>C272</f>
        <v>0</v>
      </c>
      <c r="D271" s="175">
        <f>SUM(D272:D279)</f>
        <v>4200</v>
      </c>
      <c r="E271" s="175">
        <f>SUM(E272:E279)</f>
        <v>4200</v>
      </c>
      <c r="F271" s="175">
        <f>SUM(F272:F279)</f>
        <v>0</v>
      </c>
      <c r="G271" s="172" t="e">
        <f>F271/C271*100</f>
        <v>#DIV/0!</v>
      </c>
      <c r="H271" s="173">
        <f>F271/E271*100</f>
        <v>0</v>
      </c>
      <c r="I271" s="10"/>
      <c r="J271" s="10"/>
      <c r="K271" s="10"/>
      <c r="L271" s="10"/>
      <c r="M271" s="10"/>
      <c r="P271" s="17"/>
    </row>
    <row r="272" spans="1:16" s="11" customFormat="1" ht="30">
      <c r="A272" s="18">
        <v>3229</v>
      </c>
      <c r="B272" s="19" t="s">
        <v>170</v>
      </c>
      <c r="C272" s="75">
        <v>0</v>
      </c>
      <c r="D272" s="29">
        <v>2000</v>
      </c>
      <c r="E272" s="29">
        <v>2000</v>
      </c>
      <c r="F272" s="29">
        <v>0</v>
      </c>
      <c r="G272" s="161">
        <v>0</v>
      </c>
      <c r="H272" s="162">
        <v>0</v>
      </c>
      <c r="I272" s="10"/>
      <c r="J272" s="10"/>
      <c r="K272" s="10"/>
      <c r="L272" s="10"/>
      <c r="M272" s="10"/>
      <c r="P272" s="17"/>
    </row>
    <row r="273" spans="1:16" s="11" customFormat="1" ht="30">
      <c r="A273" s="170">
        <v>324</v>
      </c>
      <c r="B273" s="131" t="s">
        <v>130</v>
      </c>
      <c r="C273" s="181">
        <f>SUM(C274)</f>
        <v>1590</v>
      </c>
      <c r="D273" s="181">
        <f>SUM(D274)</f>
        <v>100</v>
      </c>
      <c r="E273" s="181">
        <f>SUM(E274)</f>
        <v>100</v>
      </c>
      <c r="F273" s="181">
        <f>SUM(F274)</f>
        <v>0</v>
      </c>
      <c r="G273" s="161">
        <f aca="true" t="shared" si="17" ref="G273:G278">F273/C273*100</f>
        <v>0</v>
      </c>
      <c r="H273" s="162">
        <f aca="true" t="shared" si="18" ref="H273:H278">F273/E273*100</f>
        <v>0</v>
      </c>
      <c r="I273" s="10"/>
      <c r="J273" s="10"/>
      <c r="K273" s="10"/>
      <c r="L273" s="10"/>
      <c r="M273" s="10"/>
      <c r="P273" s="17"/>
    </row>
    <row r="274" spans="1:16" s="11" customFormat="1" ht="30">
      <c r="A274" s="18">
        <v>3241</v>
      </c>
      <c r="B274" s="19" t="s">
        <v>130</v>
      </c>
      <c r="C274" s="104">
        <v>1590</v>
      </c>
      <c r="D274" s="20">
        <v>100</v>
      </c>
      <c r="E274" s="20">
        <v>100</v>
      </c>
      <c r="F274" s="20">
        <v>0</v>
      </c>
      <c r="G274" s="161">
        <f t="shared" si="17"/>
        <v>0</v>
      </c>
      <c r="H274" s="162">
        <f t="shared" si="18"/>
        <v>0</v>
      </c>
      <c r="I274" s="10"/>
      <c r="J274" s="10"/>
      <c r="K274" s="10"/>
      <c r="L274" s="10"/>
      <c r="M274" s="10"/>
      <c r="P274" s="17"/>
    </row>
    <row r="275" spans="1:16" s="11" customFormat="1" ht="15">
      <c r="A275" s="185">
        <v>42</v>
      </c>
      <c r="B275" s="186" t="s">
        <v>112</v>
      </c>
      <c r="C275" s="187">
        <f>C276</f>
        <v>3700</v>
      </c>
      <c r="D275" s="187">
        <f>D276</f>
        <v>0</v>
      </c>
      <c r="E275" s="187">
        <f>E276</f>
        <v>0</v>
      </c>
      <c r="F275" s="187">
        <f>F276</f>
        <v>0</v>
      </c>
      <c r="G275" s="161">
        <f t="shared" si="17"/>
        <v>0</v>
      </c>
      <c r="H275" s="162" t="e">
        <f t="shared" si="18"/>
        <v>#DIV/0!</v>
      </c>
      <c r="I275" s="10"/>
      <c r="J275" s="10"/>
      <c r="K275" s="10"/>
      <c r="L275" s="10"/>
      <c r="M275" s="10"/>
      <c r="P275" s="17"/>
    </row>
    <row r="276" spans="1:16" s="11" customFormat="1" ht="15">
      <c r="A276" s="158">
        <v>422</v>
      </c>
      <c r="B276" s="159" t="s">
        <v>18</v>
      </c>
      <c r="C276" s="160">
        <f>SUM(C277:C277)</f>
        <v>3700</v>
      </c>
      <c r="D276" s="160">
        <f>SUM(D277:D277)</f>
        <v>0</v>
      </c>
      <c r="E276" s="160">
        <f>SUM(E277:E277)</f>
        <v>0</v>
      </c>
      <c r="F276" s="160">
        <f>SUM(F277:F277)</f>
        <v>0</v>
      </c>
      <c r="G276" s="161">
        <f t="shared" si="17"/>
        <v>0</v>
      </c>
      <c r="H276" s="162" t="e">
        <f t="shared" si="18"/>
        <v>#DIV/0!</v>
      </c>
      <c r="I276" s="10"/>
      <c r="J276" s="10"/>
      <c r="K276" s="10"/>
      <c r="L276" s="10"/>
      <c r="M276" s="10"/>
      <c r="P276" s="17"/>
    </row>
    <row r="277" spans="1:16" s="11" customFormat="1" ht="15">
      <c r="A277" s="121">
        <v>4221</v>
      </c>
      <c r="B277" s="61" t="s">
        <v>84</v>
      </c>
      <c r="C277" s="120">
        <v>3700</v>
      </c>
      <c r="D277" s="21">
        <v>0</v>
      </c>
      <c r="E277" s="21">
        <v>0</v>
      </c>
      <c r="F277" s="21">
        <v>0</v>
      </c>
      <c r="G277" s="161">
        <f t="shared" si="17"/>
        <v>0</v>
      </c>
      <c r="H277" s="162" t="e">
        <f t="shared" si="18"/>
        <v>#DIV/0!</v>
      </c>
      <c r="I277" s="10"/>
      <c r="J277" s="10"/>
      <c r="K277" s="10"/>
      <c r="L277" s="10"/>
      <c r="M277" s="10"/>
      <c r="P277" s="17"/>
    </row>
    <row r="278" spans="1:16" s="11" customFormat="1" ht="15">
      <c r="A278" s="295" t="s">
        <v>3</v>
      </c>
      <c r="B278" s="296"/>
      <c r="C278" s="178">
        <f>SUM(C270+C275)</f>
        <v>5290</v>
      </c>
      <c r="D278" s="178">
        <f>SUM(D270)</f>
        <v>2000</v>
      </c>
      <c r="E278" s="178">
        <f>SUM(E270)</f>
        <v>2000</v>
      </c>
      <c r="F278" s="178">
        <f>SUM(F270)</f>
        <v>0</v>
      </c>
      <c r="G278" s="163">
        <f t="shared" si="17"/>
        <v>0</v>
      </c>
      <c r="H278" s="164">
        <f t="shared" si="18"/>
        <v>0</v>
      </c>
      <c r="I278" s="10"/>
      <c r="J278" s="10"/>
      <c r="K278" s="10"/>
      <c r="L278" s="10"/>
      <c r="M278" s="10"/>
      <c r="P278" s="17"/>
    </row>
    <row r="279" spans="2:16" s="11" customFormat="1" ht="15">
      <c r="B279" s="9"/>
      <c r="C279" s="9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P279" s="17"/>
    </row>
    <row r="280" spans="2:16" s="11" customFormat="1" ht="15">
      <c r="B280" s="9"/>
      <c r="C280" s="9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P280" s="17"/>
    </row>
    <row r="281" spans="2:16" s="11" customFormat="1" ht="15">
      <c r="B281" s="9"/>
      <c r="C281" s="9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P281" s="17"/>
    </row>
    <row r="282" spans="1:16" s="11" customFormat="1" ht="14.25" customHeight="1">
      <c r="A282" s="307" t="s">
        <v>171</v>
      </c>
      <c r="B282" s="309"/>
      <c r="C282" s="224">
        <f aca="true" t="shared" si="19" ref="C282:H282">C298</f>
        <v>120092</v>
      </c>
      <c r="D282" s="224">
        <f t="shared" si="19"/>
        <v>160700</v>
      </c>
      <c r="E282" s="224">
        <f t="shared" si="19"/>
        <v>160700</v>
      </c>
      <c r="F282" s="224">
        <f t="shared" si="19"/>
        <v>129933</v>
      </c>
      <c r="G282" s="224">
        <f t="shared" si="19"/>
        <v>108.19455084435265</v>
      </c>
      <c r="H282" s="224">
        <f t="shared" si="19"/>
        <v>80.85438705662725</v>
      </c>
      <c r="I282" s="10"/>
      <c r="J282" s="10"/>
      <c r="K282" s="10"/>
      <c r="L282" s="10"/>
      <c r="M282" s="10"/>
      <c r="P282" s="17"/>
    </row>
    <row r="283" spans="1:16" s="11" customFormat="1" ht="15">
      <c r="A283" s="11" t="s">
        <v>172</v>
      </c>
      <c r="B283" s="9"/>
      <c r="C283" s="9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P283" s="17"/>
    </row>
    <row r="284" spans="1:16" s="11" customFormat="1" ht="15">
      <c r="A284" s="259" t="s">
        <v>53</v>
      </c>
      <c r="B284" s="261" t="s">
        <v>0</v>
      </c>
      <c r="C284" s="261" t="s">
        <v>117</v>
      </c>
      <c r="D284" s="263" t="s">
        <v>134</v>
      </c>
      <c r="E284" s="263" t="s">
        <v>137</v>
      </c>
      <c r="F284" s="263" t="s">
        <v>136</v>
      </c>
      <c r="G284" s="263" t="s">
        <v>50</v>
      </c>
      <c r="H284" s="263" t="s">
        <v>50</v>
      </c>
      <c r="I284" s="10"/>
      <c r="J284" s="10"/>
      <c r="K284" s="10"/>
      <c r="L284" s="10"/>
      <c r="M284" s="10"/>
      <c r="P284" s="17"/>
    </row>
    <row r="285" spans="1:16" s="11" customFormat="1" ht="15">
      <c r="A285" s="260"/>
      <c r="B285" s="262"/>
      <c r="C285" s="262"/>
      <c r="D285" s="264"/>
      <c r="E285" s="264"/>
      <c r="F285" s="264"/>
      <c r="G285" s="264"/>
      <c r="H285" s="264"/>
      <c r="I285" s="10"/>
      <c r="J285" s="10"/>
      <c r="K285" s="10"/>
      <c r="L285" s="10"/>
      <c r="M285" s="10"/>
      <c r="P285" s="17"/>
    </row>
    <row r="286" spans="1:16" s="11" customFormat="1" ht="15">
      <c r="A286" s="266">
        <v>1</v>
      </c>
      <c r="B286" s="266"/>
      <c r="C286" s="62">
        <v>2</v>
      </c>
      <c r="D286" s="63">
        <v>3</v>
      </c>
      <c r="E286" s="63">
        <v>4</v>
      </c>
      <c r="F286" s="63">
        <v>5</v>
      </c>
      <c r="G286" s="63" t="s">
        <v>51</v>
      </c>
      <c r="H286" s="63" t="s">
        <v>52</v>
      </c>
      <c r="I286" s="10"/>
      <c r="J286" s="10"/>
      <c r="K286" s="10"/>
      <c r="L286" s="10"/>
      <c r="M286" s="10"/>
      <c r="P286" s="17"/>
    </row>
    <row r="287" spans="1:16" s="35" customFormat="1" ht="15">
      <c r="A287" s="183">
        <v>31</v>
      </c>
      <c r="B287" s="143" t="s">
        <v>4</v>
      </c>
      <c r="C287" s="179">
        <f>SUM(C288,C290,C292)</f>
        <v>114722</v>
      </c>
      <c r="D287" s="179">
        <f>SUM(D288,D290,D292)</f>
        <v>148300</v>
      </c>
      <c r="E287" s="179">
        <f>SUM(E288,E290,E292)</f>
        <v>148300</v>
      </c>
      <c r="F287" s="179">
        <f>SUM(F288,F290,F292)</f>
        <v>124628</v>
      </c>
      <c r="G287" s="163">
        <f>F287/C287*100</f>
        <v>108.634786701766</v>
      </c>
      <c r="H287" s="164">
        <f aca="true" t="shared" si="20" ref="H287:H297">F287/E287*100</f>
        <v>84.03776129467296</v>
      </c>
      <c r="I287" s="21"/>
      <c r="J287" s="21"/>
      <c r="K287" s="21"/>
      <c r="L287" s="21"/>
      <c r="M287" s="21"/>
      <c r="P287" s="3"/>
    </row>
    <row r="288" spans="1:16" s="35" customFormat="1" ht="15">
      <c r="A288" s="170">
        <v>311</v>
      </c>
      <c r="B288" s="131" t="s">
        <v>115</v>
      </c>
      <c r="C288" s="181">
        <f>SUM(C289)</f>
        <v>93324</v>
      </c>
      <c r="D288" s="181">
        <f>SUM(D289)</f>
        <v>117000</v>
      </c>
      <c r="E288" s="181">
        <f>SUM(E289)</f>
        <v>117000</v>
      </c>
      <c r="F288" s="181">
        <f>SUM(F289)</f>
        <v>100539</v>
      </c>
      <c r="G288" s="172">
        <f>F288/C288*100</f>
        <v>107.73113025588272</v>
      </c>
      <c r="H288" s="173">
        <f t="shared" si="20"/>
        <v>85.93076923076923</v>
      </c>
      <c r="I288" s="21"/>
      <c r="J288" s="21"/>
      <c r="K288" s="21"/>
      <c r="L288" s="21"/>
      <c r="M288" s="21"/>
      <c r="P288" s="3"/>
    </row>
    <row r="289" spans="1:16" s="35" customFormat="1" ht="15">
      <c r="A289" s="18">
        <v>3111</v>
      </c>
      <c r="B289" s="19" t="s">
        <v>54</v>
      </c>
      <c r="C289" s="70">
        <v>93324</v>
      </c>
      <c r="D289" s="105">
        <v>117000</v>
      </c>
      <c r="E289" s="105">
        <v>117000</v>
      </c>
      <c r="F289" s="105">
        <v>100539</v>
      </c>
      <c r="G289" s="161">
        <f>F289/C289*100</f>
        <v>107.73113025588272</v>
      </c>
      <c r="H289" s="162">
        <f t="shared" si="20"/>
        <v>85.93076923076923</v>
      </c>
      <c r="I289" s="21"/>
      <c r="J289" s="21"/>
      <c r="K289" s="21"/>
      <c r="L289" s="21"/>
      <c r="M289" s="21"/>
      <c r="P289" s="3"/>
    </row>
    <row r="290" spans="1:16" s="227" customFormat="1" ht="19.5">
      <c r="A290" s="170">
        <v>312</v>
      </c>
      <c r="B290" s="131" t="s">
        <v>116</v>
      </c>
      <c r="C290" s="181">
        <f>SUM(C291)</f>
        <v>6000</v>
      </c>
      <c r="D290" s="181">
        <f>SUM(D291)</f>
        <v>12000</v>
      </c>
      <c r="E290" s="181">
        <f>SUM(E291)</f>
        <v>12000</v>
      </c>
      <c r="F290" s="181">
        <f>SUM(F291)</f>
        <v>7500</v>
      </c>
      <c r="G290" s="172">
        <f aca="true" t="shared" si="21" ref="G290:G297">F290/C290*100</f>
        <v>125</v>
      </c>
      <c r="H290" s="173">
        <f t="shared" si="20"/>
        <v>62.5</v>
      </c>
      <c r="I290" s="226"/>
      <c r="J290" s="226"/>
      <c r="K290" s="226"/>
      <c r="L290" s="226"/>
      <c r="M290" s="226"/>
      <c r="P290" s="228"/>
    </row>
    <row r="291" spans="1:16" s="11" customFormat="1" ht="15">
      <c r="A291" s="27">
        <v>3121</v>
      </c>
      <c r="B291" s="28" t="s">
        <v>116</v>
      </c>
      <c r="C291" s="74">
        <v>6000</v>
      </c>
      <c r="D291" s="74">
        <v>12000</v>
      </c>
      <c r="E291" s="74">
        <v>12000</v>
      </c>
      <c r="F291" s="29">
        <v>7500</v>
      </c>
      <c r="G291" s="161">
        <f t="shared" si="21"/>
        <v>125</v>
      </c>
      <c r="H291" s="162">
        <f t="shared" si="20"/>
        <v>62.5</v>
      </c>
      <c r="I291" s="10"/>
      <c r="J291" s="10"/>
      <c r="K291" s="10"/>
      <c r="L291" s="10"/>
      <c r="M291" s="10"/>
      <c r="P291" s="17"/>
    </row>
    <row r="292" spans="1:16" s="11" customFormat="1" ht="15">
      <c r="A292" s="170">
        <v>313</v>
      </c>
      <c r="B292" s="131" t="s">
        <v>7</v>
      </c>
      <c r="C292" s="181">
        <f>SUM(C293:C293)</f>
        <v>15398</v>
      </c>
      <c r="D292" s="181">
        <f>SUM(D293:D293)</f>
        <v>19300</v>
      </c>
      <c r="E292" s="181">
        <f>SUM(E293:E293)</f>
        <v>19300</v>
      </c>
      <c r="F292" s="181">
        <f>SUM(F293:F293)</f>
        <v>16589</v>
      </c>
      <c r="G292" s="172">
        <f t="shared" si="21"/>
        <v>107.73477074944797</v>
      </c>
      <c r="H292" s="173">
        <f t="shared" si="20"/>
        <v>85.95336787564767</v>
      </c>
      <c r="I292" s="10"/>
      <c r="J292" s="10"/>
      <c r="K292" s="10"/>
      <c r="L292" s="10"/>
      <c r="M292" s="10"/>
      <c r="P292" s="17"/>
    </row>
    <row r="293" spans="1:16" s="11" customFormat="1" ht="15">
      <c r="A293" s="27">
        <v>3132</v>
      </c>
      <c r="B293" s="28" t="s">
        <v>55</v>
      </c>
      <c r="C293" s="74">
        <v>15398</v>
      </c>
      <c r="D293" s="74">
        <v>19300</v>
      </c>
      <c r="E293" s="74">
        <v>19300</v>
      </c>
      <c r="F293" s="29">
        <v>16589</v>
      </c>
      <c r="G293" s="161">
        <f t="shared" si="21"/>
        <v>107.73477074944797</v>
      </c>
      <c r="H293" s="162">
        <f t="shared" si="20"/>
        <v>85.95336787564767</v>
      </c>
      <c r="I293" s="10"/>
      <c r="J293" s="10"/>
      <c r="K293" s="10"/>
      <c r="L293" s="10"/>
      <c r="M293" s="10"/>
      <c r="P293" s="17"/>
    </row>
    <row r="294" spans="1:16" s="11" customFormat="1" ht="14.25" customHeight="1">
      <c r="A294" s="166">
        <v>32</v>
      </c>
      <c r="B294" s="145" t="s">
        <v>8</v>
      </c>
      <c r="C294" s="180">
        <f>SUM(C295,)</f>
        <v>5370</v>
      </c>
      <c r="D294" s="180">
        <f>SUM(D295,)</f>
        <v>12400</v>
      </c>
      <c r="E294" s="180">
        <f>SUM(E295,)</f>
        <v>12400</v>
      </c>
      <c r="F294" s="180">
        <f>SUM(F295,)</f>
        <v>5305</v>
      </c>
      <c r="G294" s="163">
        <f t="shared" si="21"/>
        <v>98.78957169459963</v>
      </c>
      <c r="H294" s="164">
        <f t="shared" si="20"/>
        <v>42.78225806451613</v>
      </c>
      <c r="I294" s="10"/>
      <c r="J294" s="10"/>
      <c r="K294" s="10"/>
      <c r="L294" s="10"/>
      <c r="M294" s="10"/>
      <c r="P294" s="17"/>
    </row>
    <row r="295" spans="1:16" s="11" customFormat="1" ht="15">
      <c r="A295" s="170">
        <v>321</v>
      </c>
      <c r="B295" s="131" t="s">
        <v>9</v>
      </c>
      <c r="C295" s="181">
        <f>SUM(C296:C297)</f>
        <v>5370</v>
      </c>
      <c r="D295" s="181">
        <f>SUM(D296:D297)</f>
        <v>12400</v>
      </c>
      <c r="E295" s="181">
        <f>SUM(E296:E297)</f>
        <v>12400</v>
      </c>
      <c r="F295" s="181">
        <f>SUM(F296:F297)</f>
        <v>5305</v>
      </c>
      <c r="G295" s="172">
        <f t="shared" si="21"/>
        <v>98.78957169459963</v>
      </c>
      <c r="H295" s="173">
        <f t="shared" si="20"/>
        <v>42.78225806451613</v>
      </c>
      <c r="I295" s="10"/>
      <c r="J295" s="10"/>
      <c r="K295" s="10"/>
      <c r="L295" s="10"/>
      <c r="M295" s="10"/>
      <c r="P295" s="17"/>
    </row>
    <row r="296" spans="1:16" s="11" customFormat="1" ht="15">
      <c r="A296" s="18">
        <v>3211</v>
      </c>
      <c r="B296" s="19" t="s">
        <v>58</v>
      </c>
      <c r="C296" s="70">
        <v>0</v>
      </c>
      <c r="D296" s="20">
        <v>1000</v>
      </c>
      <c r="E296" s="20">
        <v>1000</v>
      </c>
      <c r="F296" s="20">
        <v>400</v>
      </c>
      <c r="G296" s="161" t="e">
        <f t="shared" si="21"/>
        <v>#DIV/0!</v>
      </c>
      <c r="H296" s="162">
        <f t="shared" si="20"/>
        <v>40</v>
      </c>
      <c r="I296" s="10"/>
      <c r="J296" s="10"/>
      <c r="K296" s="10"/>
      <c r="L296" s="10"/>
      <c r="M296" s="10"/>
      <c r="P296" s="17"/>
    </row>
    <row r="297" spans="1:13" s="35" customFormat="1" ht="30">
      <c r="A297" s="18">
        <v>3212</v>
      </c>
      <c r="B297" s="19" t="s">
        <v>10</v>
      </c>
      <c r="C297" s="70">
        <v>5370</v>
      </c>
      <c r="D297" s="20">
        <v>11400</v>
      </c>
      <c r="E297" s="20">
        <v>11400</v>
      </c>
      <c r="F297" s="20">
        <v>4905</v>
      </c>
      <c r="G297" s="161">
        <f t="shared" si="21"/>
        <v>91.34078212290503</v>
      </c>
      <c r="H297" s="164">
        <f t="shared" si="20"/>
        <v>43.026315789473685</v>
      </c>
      <c r="I297" s="21"/>
      <c r="J297" s="21"/>
      <c r="K297" s="21"/>
      <c r="L297" s="21"/>
      <c r="M297" s="21"/>
    </row>
    <row r="298" spans="1:13" s="73" customFormat="1" ht="15" customHeight="1">
      <c r="A298" s="295" t="s">
        <v>3</v>
      </c>
      <c r="B298" s="296"/>
      <c r="C298" s="182">
        <f>SUM(C287,C294,)</f>
        <v>120092</v>
      </c>
      <c r="D298" s="182">
        <f>SUM(D287,D294,)</f>
        <v>160700</v>
      </c>
      <c r="E298" s="182">
        <f>SUM(E287,E294,)</f>
        <v>160700</v>
      </c>
      <c r="F298" s="182">
        <f>SUM(F287,F294,)</f>
        <v>129933</v>
      </c>
      <c r="G298" s="163">
        <f>F298/C298*100</f>
        <v>108.19455084435265</v>
      </c>
      <c r="H298" s="164">
        <f>F298/E298*100</f>
        <v>80.85438705662725</v>
      </c>
      <c r="I298" s="21"/>
      <c r="J298" s="21"/>
      <c r="K298" s="21"/>
      <c r="L298" s="21"/>
      <c r="M298" s="21"/>
    </row>
    <row r="299" spans="2:16" s="11" customFormat="1" ht="15">
      <c r="B299" s="9"/>
      <c r="C299" s="9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P299" s="17"/>
    </row>
    <row r="300" spans="2:16" s="11" customFormat="1" ht="15">
      <c r="B300" s="9"/>
      <c r="C300" s="9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P300" s="17"/>
    </row>
    <row r="301" spans="2:16" s="11" customFormat="1" ht="15">
      <c r="B301" s="9"/>
      <c r="C301" s="9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P301" s="17"/>
    </row>
    <row r="302" spans="1:16" s="11" customFormat="1" ht="19.5">
      <c r="A302" s="299" t="s">
        <v>235</v>
      </c>
      <c r="B302" s="300"/>
      <c r="C302" s="225">
        <f>C310</f>
        <v>4500</v>
      </c>
      <c r="D302" s="225">
        <f>D310</f>
        <v>0</v>
      </c>
      <c r="E302" s="225">
        <f>E310</f>
        <v>0</v>
      </c>
      <c r="F302" s="225">
        <f>F310</f>
        <v>0</v>
      </c>
      <c r="G302" s="225">
        <f>G310+G321</f>
        <v>104.11604688590432</v>
      </c>
      <c r="H302" s="225" t="e">
        <f>H310+H321</f>
        <v>#DIV/0!</v>
      </c>
      <c r="I302" s="10"/>
      <c r="J302" s="10"/>
      <c r="K302" s="10"/>
      <c r="L302" s="10"/>
      <c r="M302" s="10"/>
      <c r="P302" s="17"/>
    </row>
    <row r="303" spans="1:16" s="11" customFormat="1" ht="15">
      <c r="A303" s="11" t="s">
        <v>172</v>
      </c>
      <c r="B303" s="9"/>
      <c r="C303" s="9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P303" s="17"/>
    </row>
    <row r="304" spans="1:16" s="11" customFormat="1" ht="15">
      <c r="A304" s="259" t="s">
        <v>53</v>
      </c>
      <c r="B304" s="261" t="s">
        <v>0</v>
      </c>
      <c r="C304" s="261" t="s">
        <v>117</v>
      </c>
      <c r="D304" s="263" t="s">
        <v>134</v>
      </c>
      <c r="E304" s="263" t="s">
        <v>137</v>
      </c>
      <c r="F304" s="263" t="s">
        <v>136</v>
      </c>
      <c r="G304" s="263" t="s">
        <v>50</v>
      </c>
      <c r="H304" s="263" t="s">
        <v>50</v>
      </c>
      <c r="I304" s="10"/>
      <c r="J304" s="10"/>
      <c r="K304" s="10"/>
      <c r="L304" s="10"/>
      <c r="M304" s="10"/>
      <c r="P304" s="17"/>
    </row>
    <row r="305" spans="1:16" s="11" customFormat="1" ht="15">
      <c r="A305" s="260"/>
      <c r="B305" s="262"/>
      <c r="C305" s="262"/>
      <c r="D305" s="264"/>
      <c r="E305" s="264"/>
      <c r="F305" s="264"/>
      <c r="G305" s="264"/>
      <c r="H305" s="264"/>
      <c r="I305" s="10"/>
      <c r="J305" s="10"/>
      <c r="K305" s="10"/>
      <c r="L305" s="10"/>
      <c r="M305" s="10"/>
      <c r="P305" s="17"/>
    </row>
    <row r="306" spans="1:16" s="11" customFormat="1" ht="15">
      <c r="A306" s="266">
        <v>1</v>
      </c>
      <c r="B306" s="266"/>
      <c r="C306" s="62">
        <v>2</v>
      </c>
      <c r="D306" s="63">
        <v>3</v>
      </c>
      <c r="E306" s="63">
        <v>4</v>
      </c>
      <c r="F306" s="63">
        <v>5</v>
      </c>
      <c r="G306" s="63" t="s">
        <v>51</v>
      </c>
      <c r="H306" s="63" t="s">
        <v>52</v>
      </c>
      <c r="I306" s="10"/>
      <c r="J306" s="10"/>
      <c r="K306" s="10"/>
      <c r="L306" s="10"/>
      <c r="M306" s="10"/>
      <c r="P306" s="17"/>
    </row>
    <row r="307" spans="1:16" s="11" customFormat="1" ht="30">
      <c r="A307" s="183">
        <v>37</v>
      </c>
      <c r="B307" s="143" t="s">
        <v>19</v>
      </c>
      <c r="C307" s="123">
        <f>SUM(C308)</f>
        <v>4500</v>
      </c>
      <c r="D307" s="123">
        <f aca="true" t="shared" si="22" ref="D307:F308">SUM(D308)</f>
        <v>0</v>
      </c>
      <c r="E307" s="123">
        <f t="shared" si="22"/>
        <v>0</v>
      </c>
      <c r="F307" s="123">
        <f t="shared" si="22"/>
        <v>0</v>
      </c>
      <c r="G307" s="163">
        <f>F307/C307*100</f>
        <v>0</v>
      </c>
      <c r="H307" s="164" t="e">
        <f>F307/E307*100</f>
        <v>#DIV/0!</v>
      </c>
      <c r="I307" s="10"/>
      <c r="J307" s="10"/>
      <c r="K307" s="10"/>
      <c r="L307" s="10"/>
      <c r="M307" s="10"/>
      <c r="P307" s="17"/>
    </row>
    <row r="308" spans="1:16" s="11" customFormat="1" ht="30">
      <c r="A308" s="170">
        <v>372</v>
      </c>
      <c r="B308" s="131" t="s">
        <v>132</v>
      </c>
      <c r="C308" s="184">
        <f>SUM(C309)</f>
        <v>4500</v>
      </c>
      <c r="D308" s="184">
        <f t="shared" si="22"/>
        <v>0</v>
      </c>
      <c r="E308" s="184">
        <f t="shared" si="22"/>
        <v>0</v>
      </c>
      <c r="F308" s="184">
        <f t="shared" si="22"/>
        <v>0</v>
      </c>
      <c r="G308" s="172">
        <f>F308/C308*100</f>
        <v>0</v>
      </c>
      <c r="H308" s="173" t="e">
        <f>F308/E308*100</f>
        <v>#DIV/0!</v>
      </c>
      <c r="I308" s="10"/>
      <c r="J308" s="10"/>
      <c r="K308" s="10"/>
      <c r="L308" s="10"/>
      <c r="M308" s="10"/>
      <c r="P308" s="17"/>
    </row>
    <row r="309" spans="1:14" s="11" customFormat="1" ht="15">
      <c r="A309" s="113">
        <v>3722</v>
      </c>
      <c r="B309" s="112" t="s">
        <v>107</v>
      </c>
      <c r="C309" s="53">
        <v>4500</v>
      </c>
      <c r="D309" s="53">
        <v>0</v>
      </c>
      <c r="E309" s="53">
        <v>0</v>
      </c>
      <c r="F309" s="53">
        <v>0</v>
      </c>
      <c r="G309" s="161">
        <f>F309/C309*100</f>
        <v>0</v>
      </c>
      <c r="H309" s="162" t="e">
        <f>F309/E309*100</f>
        <v>#DIV/0!</v>
      </c>
      <c r="I309" s="10"/>
      <c r="J309" s="10"/>
      <c r="K309" s="10"/>
      <c r="N309" s="17"/>
    </row>
    <row r="310" spans="1:16" s="11" customFormat="1" ht="15">
      <c r="A310" s="295" t="s">
        <v>3</v>
      </c>
      <c r="B310" s="296"/>
      <c r="C310" s="178">
        <f>C307</f>
        <v>4500</v>
      </c>
      <c r="D310" s="178">
        <f>D307</f>
        <v>0</v>
      </c>
      <c r="E310" s="178">
        <f>E307</f>
        <v>0</v>
      </c>
      <c r="F310" s="178">
        <f>F307</f>
        <v>0</v>
      </c>
      <c r="G310" s="163">
        <f>F310/C310*100</f>
        <v>0</v>
      </c>
      <c r="H310" s="164" t="e">
        <f>F310/E310*100</f>
        <v>#DIV/0!</v>
      </c>
      <c r="I310" s="10"/>
      <c r="J310" s="10"/>
      <c r="K310" s="10"/>
      <c r="L310" s="10"/>
      <c r="M310" s="10"/>
      <c r="P310" s="17"/>
    </row>
    <row r="311" spans="2:16" s="11" customFormat="1" ht="15" customHeight="1">
      <c r="B311" s="9"/>
      <c r="C311" s="9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P311" s="17"/>
    </row>
    <row r="312" spans="2:16" s="11" customFormat="1" ht="15">
      <c r="B312" s="9"/>
      <c r="C312" s="9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P312" s="17"/>
    </row>
    <row r="313" spans="2:16" s="11" customFormat="1" ht="15">
      <c r="B313" s="9"/>
      <c r="C313" s="9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P313" s="17"/>
    </row>
    <row r="314" spans="1:16" s="11" customFormat="1" ht="19.5">
      <c r="A314" s="299" t="s">
        <v>173</v>
      </c>
      <c r="B314" s="300"/>
      <c r="C314" s="225">
        <f aca="true" t="shared" si="23" ref="C314:H314">C322+C332</f>
        <v>298882</v>
      </c>
      <c r="D314" s="225">
        <f t="shared" si="23"/>
        <v>160000</v>
      </c>
      <c r="E314" s="225">
        <f t="shared" si="23"/>
        <v>306500</v>
      </c>
      <c r="F314" s="225">
        <f t="shared" si="23"/>
        <v>309602</v>
      </c>
      <c r="G314" s="225">
        <f t="shared" si="23"/>
        <v>207.23363157818483</v>
      </c>
      <c r="H314" s="225">
        <f t="shared" si="23"/>
        <v>201.92181740614336</v>
      </c>
      <c r="I314" s="10"/>
      <c r="J314" s="10"/>
      <c r="K314" s="10"/>
      <c r="L314" s="10"/>
      <c r="M314" s="10"/>
      <c r="P314" s="17"/>
    </row>
    <row r="315" spans="1:16" s="11" customFormat="1" ht="15">
      <c r="A315" s="11" t="s">
        <v>172</v>
      </c>
      <c r="B315" s="9"/>
      <c r="C315" s="9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P315" s="17"/>
    </row>
    <row r="316" spans="1:16" s="11" customFormat="1" ht="15">
      <c r="A316" s="259" t="s">
        <v>53</v>
      </c>
      <c r="B316" s="261" t="s">
        <v>0</v>
      </c>
      <c r="C316" s="261" t="s">
        <v>117</v>
      </c>
      <c r="D316" s="263" t="s">
        <v>134</v>
      </c>
      <c r="E316" s="263" t="s">
        <v>137</v>
      </c>
      <c r="F316" s="263" t="s">
        <v>136</v>
      </c>
      <c r="G316" s="263" t="s">
        <v>50</v>
      </c>
      <c r="H316" s="263" t="s">
        <v>50</v>
      </c>
      <c r="I316" s="10"/>
      <c r="J316" s="10"/>
      <c r="K316" s="10"/>
      <c r="L316" s="10"/>
      <c r="M316" s="10"/>
      <c r="P316" s="17"/>
    </row>
    <row r="317" spans="1:16" s="11" customFormat="1" ht="15">
      <c r="A317" s="260"/>
      <c r="B317" s="262"/>
      <c r="C317" s="262"/>
      <c r="D317" s="264"/>
      <c r="E317" s="264"/>
      <c r="F317" s="264"/>
      <c r="G317" s="264"/>
      <c r="H317" s="264"/>
      <c r="I317" s="10"/>
      <c r="J317" s="10"/>
      <c r="K317" s="10"/>
      <c r="L317" s="10"/>
      <c r="M317" s="10"/>
      <c r="P317" s="17"/>
    </row>
    <row r="318" spans="1:16" s="11" customFormat="1" ht="15">
      <c r="A318" s="266">
        <v>1</v>
      </c>
      <c r="B318" s="266"/>
      <c r="C318" s="62">
        <v>2</v>
      </c>
      <c r="D318" s="63">
        <v>3</v>
      </c>
      <c r="E318" s="63">
        <v>4</v>
      </c>
      <c r="F318" s="63">
        <v>5</v>
      </c>
      <c r="G318" s="63" t="s">
        <v>51</v>
      </c>
      <c r="H318" s="63" t="s">
        <v>52</v>
      </c>
      <c r="I318" s="10"/>
      <c r="J318" s="10"/>
      <c r="K318" s="10"/>
      <c r="L318" s="10"/>
      <c r="M318" s="10"/>
      <c r="P318" s="17"/>
    </row>
    <row r="319" spans="1:16" s="11" customFormat="1" ht="30">
      <c r="A319" s="183">
        <v>37</v>
      </c>
      <c r="B319" s="143" t="s">
        <v>19</v>
      </c>
      <c r="C319" s="123">
        <f>SUM(C320)</f>
        <v>140426</v>
      </c>
      <c r="D319" s="123">
        <f aca="true" t="shared" si="24" ref="D319:F320">SUM(D320)</f>
        <v>0</v>
      </c>
      <c r="E319" s="123">
        <f t="shared" si="24"/>
        <v>146500</v>
      </c>
      <c r="F319" s="123">
        <f t="shared" si="24"/>
        <v>146206</v>
      </c>
      <c r="G319" s="163">
        <f>F319/C319*100</f>
        <v>104.11604688590432</v>
      </c>
      <c r="H319" s="164">
        <f>F319/E319*100</f>
        <v>99.79931740614335</v>
      </c>
      <c r="I319" s="10"/>
      <c r="J319" s="10"/>
      <c r="K319" s="10"/>
      <c r="L319" s="10"/>
      <c r="M319" s="10"/>
      <c r="P319" s="17"/>
    </row>
    <row r="320" spans="1:16" s="11" customFormat="1" ht="14.25" customHeight="1">
      <c r="A320" s="170">
        <v>372</v>
      </c>
      <c r="B320" s="131" t="s">
        <v>132</v>
      </c>
      <c r="C320" s="184">
        <f>SUM(C321)</f>
        <v>140426</v>
      </c>
      <c r="D320" s="184">
        <f t="shared" si="24"/>
        <v>0</v>
      </c>
      <c r="E320" s="184">
        <f t="shared" si="24"/>
        <v>146500</v>
      </c>
      <c r="F320" s="184">
        <f t="shared" si="24"/>
        <v>146206</v>
      </c>
      <c r="G320" s="172">
        <f>F320/C320*100</f>
        <v>104.11604688590432</v>
      </c>
      <c r="H320" s="173">
        <f>F320/E320*100</f>
        <v>99.79931740614335</v>
      </c>
      <c r="I320" s="10"/>
      <c r="J320" s="10"/>
      <c r="K320" s="10"/>
      <c r="L320" s="10"/>
      <c r="M320" s="10"/>
      <c r="P320" s="17"/>
    </row>
    <row r="321" spans="1:16" s="11" customFormat="1" ht="15">
      <c r="A321" s="113">
        <v>3722</v>
      </c>
      <c r="B321" s="112" t="s">
        <v>107</v>
      </c>
      <c r="C321" s="53">
        <v>140426</v>
      </c>
      <c r="D321" s="53">
        <v>0</v>
      </c>
      <c r="E321" s="53">
        <v>146500</v>
      </c>
      <c r="F321" s="53">
        <v>146206</v>
      </c>
      <c r="G321" s="161">
        <f>F321/C321*100</f>
        <v>104.11604688590432</v>
      </c>
      <c r="H321" s="162">
        <f>F321/E321*100</f>
        <v>99.79931740614335</v>
      </c>
      <c r="I321" s="10"/>
      <c r="J321" s="10"/>
      <c r="K321" s="10"/>
      <c r="L321" s="10"/>
      <c r="M321" s="10"/>
      <c r="P321" s="17"/>
    </row>
    <row r="322" spans="1:16" s="11" customFormat="1" ht="15">
      <c r="A322" s="295" t="s">
        <v>3</v>
      </c>
      <c r="B322" s="296"/>
      <c r="C322" s="178">
        <f>C319</f>
        <v>140426</v>
      </c>
      <c r="D322" s="178">
        <f>D319</f>
        <v>0</v>
      </c>
      <c r="E322" s="178">
        <f>E319</f>
        <v>146500</v>
      </c>
      <c r="F322" s="178">
        <f>F319</f>
        <v>146206</v>
      </c>
      <c r="G322" s="163">
        <f>F322/C322*100</f>
        <v>104.11604688590432</v>
      </c>
      <c r="H322" s="164">
        <f>F322/E322*100</f>
        <v>99.79931740614335</v>
      </c>
      <c r="I322" s="10"/>
      <c r="J322" s="10"/>
      <c r="K322" s="10"/>
      <c r="L322" s="10"/>
      <c r="M322" s="10"/>
      <c r="P322" s="17"/>
    </row>
    <row r="323" spans="1:13" s="35" customFormat="1" ht="15">
      <c r="A323" s="11"/>
      <c r="B323" s="9"/>
      <c r="C323" s="9"/>
      <c r="D323" s="10"/>
      <c r="E323" s="10"/>
      <c r="F323" s="10"/>
      <c r="G323" s="10"/>
      <c r="H323" s="10"/>
      <c r="I323" s="21"/>
      <c r="J323" s="21"/>
      <c r="K323" s="21"/>
      <c r="L323" s="21"/>
      <c r="M323" s="21"/>
    </row>
    <row r="324" spans="2:16" s="11" customFormat="1" ht="15">
      <c r="B324" s="9"/>
      <c r="C324" s="9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P324" s="17"/>
    </row>
    <row r="325" spans="1:16" s="11" customFormat="1" ht="15">
      <c r="A325" s="11" t="s">
        <v>174</v>
      </c>
      <c r="B325" s="9"/>
      <c r="C325" s="9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P325" s="17"/>
    </row>
    <row r="326" spans="1:16" s="11" customFormat="1" ht="15">
      <c r="A326" s="259" t="s">
        <v>53</v>
      </c>
      <c r="B326" s="261" t="s">
        <v>0</v>
      </c>
      <c r="C326" s="261" t="s">
        <v>117</v>
      </c>
      <c r="D326" s="263" t="s">
        <v>134</v>
      </c>
      <c r="E326" s="263" t="s">
        <v>137</v>
      </c>
      <c r="F326" s="263" t="s">
        <v>136</v>
      </c>
      <c r="G326" s="263" t="s">
        <v>50</v>
      </c>
      <c r="H326" s="263" t="s">
        <v>50</v>
      </c>
      <c r="I326" s="10"/>
      <c r="J326" s="10"/>
      <c r="K326" s="10"/>
      <c r="L326" s="10"/>
      <c r="M326" s="10"/>
      <c r="P326" s="17"/>
    </row>
    <row r="327" spans="1:16" s="11" customFormat="1" ht="15">
      <c r="A327" s="260"/>
      <c r="B327" s="262"/>
      <c r="C327" s="262"/>
      <c r="D327" s="264"/>
      <c r="E327" s="264"/>
      <c r="F327" s="264"/>
      <c r="G327" s="264"/>
      <c r="H327" s="264"/>
      <c r="I327" s="10"/>
      <c r="J327" s="10"/>
      <c r="K327" s="10"/>
      <c r="L327" s="10"/>
      <c r="M327" s="10"/>
      <c r="P327" s="17"/>
    </row>
    <row r="328" spans="1:16" s="11" customFormat="1" ht="15">
      <c r="A328" s="266">
        <v>1</v>
      </c>
      <c r="B328" s="266"/>
      <c r="C328" s="62">
        <v>2</v>
      </c>
      <c r="D328" s="63">
        <v>3</v>
      </c>
      <c r="E328" s="63">
        <v>4</v>
      </c>
      <c r="F328" s="63">
        <v>5</v>
      </c>
      <c r="G328" s="63" t="s">
        <v>51</v>
      </c>
      <c r="H328" s="63" t="s">
        <v>52</v>
      </c>
      <c r="I328" s="10"/>
      <c r="J328" s="10"/>
      <c r="K328" s="10"/>
      <c r="L328" s="10"/>
      <c r="M328" s="10"/>
      <c r="P328" s="17"/>
    </row>
    <row r="329" spans="1:16" s="11" customFormat="1" ht="15">
      <c r="A329" s="185">
        <v>42</v>
      </c>
      <c r="B329" s="186" t="s">
        <v>112</v>
      </c>
      <c r="C329" s="187">
        <f>C330</f>
        <v>158456</v>
      </c>
      <c r="D329" s="187">
        <f>D330</f>
        <v>160000</v>
      </c>
      <c r="E329" s="187">
        <f>E330</f>
        <v>160000</v>
      </c>
      <c r="F329" s="187">
        <f>F330</f>
        <v>163396</v>
      </c>
      <c r="G329" s="163">
        <v>0</v>
      </c>
      <c r="H329" s="164">
        <v>0</v>
      </c>
      <c r="I329" s="10"/>
      <c r="J329" s="10"/>
      <c r="K329" s="10"/>
      <c r="L329" s="10"/>
      <c r="M329" s="10"/>
      <c r="P329" s="17"/>
    </row>
    <row r="330" spans="1:16" s="11" customFormat="1" ht="30">
      <c r="A330" s="170">
        <v>424</v>
      </c>
      <c r="B330" s="131" t="s">
        <v>131</v>
      </c>
      <c r="C330" s="171">
        <f>SUM(C331)</f>
        <v>158456</v>
      </c>
      <c r="D330" s="171">
        <f>SUM(D331)</f>
        <v>160000</v>
      </c>
      <c r="E330" s="171">
        <f>E331</f>
        <v>160000</v>
      </c>
      <c r="F330" s="171">
        <f>SUM(F331)</f>
        <v>163396</v>
      </c>
      <c r="G330" s="172">
        <f>F330/C330*100</f>
        <v>103.11758469228052</v>
      </c>
      <c r="H330" s="173">
        <f>F330/E330*100</f>
        <v>102.1225</v>
      </c>
      <c r="I330" s="10"/>
      <c r="J330" s="10"/>
      <c r="K330" s="10"/>
      <c r="L330" s="10"/>
      <c r="M330" s="10"/>
      <c r="P330" s="17"/>
    </row>
    <row r="331" spans="1:16" s="11" customFormat="1" ht="14.25" customHeight="1">
      <c r="A331" s="113">
        <v>4241</v>
      </c>
      <c r="B331" s="112" t="s">
        <v>104</v>
      </c>
      <c r="C331" s="114">
        <v>158456</v>
      </c>
      <c r="D331" s="72">
        <v>160000</v>
      </c>
      <c r="E331" s="72">
        <v>160000</v>
      </c>
      <c r="F331" s="11">
        <v>163396</v>
      </c>
      <c r="G331" s="161">
        <f>E331/C331*100</f>
        <v>100.97440298884233</v>
      </c>
      <c r="H331" s="162">
        <f>F331/E331*100</f>
        <v>102.1225</v>
      </c>
      <c r="I331" s="10"/>
      <c r="J331" s="10"/>
      <c r="K331" s="10"/>
      <c r="L331" s="10"/>
      <c r="M331" s="10"/>
      <c r="P331" s="17"/>
    </row>
    <row r="332" spans="1:16" s="11" customFormat="1" ht="15">
      <c r="A332" s="295" t="s">
        <v>3</v>
      </c>
      <c r="B332" s="296"/>
      <c r="C332" s="178">
        <f>SUM(C329,)</f>
        <v>158456</v>
      </c>
      <c r="D332" s="178">
        <f>SUM(D329,)</f>
        <v>160000</v>
      </c>
      <c r="E332" s="178">
        <f>SUM(E329,)</f>
        <v>160000</v>
      </c>
      <c r="F332" s="178">
        <f>SUM(F329,)</f>
        <v>163396</v>
      </c>
      <c r="G332" s="163">
        <f>F332/C332*100</f>
        <v>103.11758469228052</v>
      </c>
      <c r="H332" s="164">
        <f>F332/E332*100</f>
        <v>102.1225</v>
      </c>
      <c r="I332" s="10"/>
      <c r="J332" s="10"/>
      <c r="K332" s="10"/>
      <c r="L332" s="10"/>
      <c r="M332" s="10"/>
      <c r="P332" s="17"/>
    </row>
    <row r="333" spans="2:16" s="11" customFormat="1" ht="15">
      <c r="B333" s="9"/>
      <c r="C333" s="9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P333" s="17"/>
    </row>
    <row r="334" spans="2:16" s="11" customFormat="1" ht="15">
      <c r="B334" s="9"/>
      <c r="C334" s="9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P334" s="17"/>
    </row>
    <row r="335" spans="2:16" s="11" customFormat="1" ht="15">
      <c r="B335" s="9"/>
      <c r="C335" s="9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P335" s="17"/>
    </row>
    <row r="336" spans="1:16" s="11" customFormat="1" ht="19.5">
      <c r="A336" s="299" t="s">
        <v>175</v>
      </c>
      <c r="B336" s="300"/>
      <c r="C336" s="225">
        <f aca="true" t="shared" si="25" ref="C336:H336">C344</f>
        <v>0</v>
      </c>
      <c r="D336" s="225">
        <f t="shared" si="25"/>
        <v>3200</v>
      </c>
      <c r="E336" s="225">
        <f t="shared" si="25"/>
        <v>3200</v>
      </c>
      <c r="F336" s="225">
        <f t="shared" si="25"/>
        <v>0</v>
      </c>
      <c r="G336" s="225" t="e">
        <f t="shared" si="25"/>
        <v>#DIV/0!</v>
      </c>
      <c r="H336" s="225">
        <f t="shared" si="25"/>
        <v>0</v>
      </c>
      <c r="I336" s="10"/>
      <c r="J336" s="10"/>
      <c r="K336" s="10"/>
      <c r="L336" s="10"/>
      <c r="M336" s="10"/>
      <c r="P336" s="17"/>
    </row>
    <row r="337" spans="1:16" s="11" customFormat="1" ht="15">
      <c r="A337" s="11" t="s">
        <v>172</v>
      </c>
      <c r="B337" s="9"/>
      <c r="C337" s="9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P337" s="17"/>
    </row>
    <row r="338" spans="1:16" s="11" customFormat="1" ht="15">
      <c r="A338" s="259" t="s">
        <v>53</v>
      </c>
      <c r="B338" s="261" t="s">
        <v>0</v>
      </c>
      <c r="C338" s="261" t="s">
        <v>117</v>
      </c>
      <c r="D338" s="263" t="s">
        <v>134</v>
      </c>
      <c r="E338" s="263" t="s">
        <v>137</v>
      </c>
      <c r="F338" s="263" t="s">
        <v>136</v>
      </c>
      <c r="G338" s="263" t="s">
        <v>50</v>
      </c>
      <c r="H338" s="263" t="s">
        <v>50</v>
      </c>
      <c r="I338" s="10"/>
      <c r="J338" s="10"/>
      <c r="K338" s="10"/>
      <c r="L338" s="10"/>
      <c r="M338" s="10"/>
      <c r="P338" s="17"/>
    </row>
    <row r="339" spans="1:16" ht="19.5" customHeight="1">
      <c r="A339" s="260"/>
      <c r="B339" s="262"/>
      <c r="C339" s="262"/>
      <c r="D339" s="264"/>
      <c r="E339" s="264"/>
      <c r="F339" s="264"/>
      <c r="G339" s="264"/>
      <c r="H339" s="264"/>
      <c r="I339" s="21"/>
      <c r="J339" s="21"/>
      <c r="K339" s="22"/>
      <c r="L339" s="22"/>
      <c r="M339" s="21"/>
      <c r="N339" s="3">
        <v>0</v>
      </c>
      <c r="O339" s="3">
        <v>0</v>
      </c>
      <c r="P339" s="17"/>
    </row>
    <row r="340" spans="1:16" s="11" customFormat="1" ht="15">
      <c r="A340" s="266">
        <v>1</v>
      </c>
      <c r="B340" s="266"/>
      <c r="C340" s="62">
        <v>2</v>
      </c>
      <c r="D340" s="63">
        <v>3</v>
      </c>
      <c r="E340" s="63">
        <v>4</v>
      </c>
      <c r="F340" s="63">
        <v>5</v>
      </c>
      <c r="G340" s="63" t="s">
        <v>51</v>
      </c>
      <c r="H340" s="63" t="s">
        <v>52</v>
      </c>
      <c r="I340" s="10"/>
      <c r="J340" s="10"/>
      <c r="K340" s="10"/>
      <c r="L340" s="10"/>
      <c r="M340" s="10"/>
      <c r="P340" s="17"/>
    </row>
    <row r="341" spans="1:16" s="11" customFormat="1" ht="15" customHeight="1">
      <c r="A341" s="183">
        <v>32</v>
      </c>
      <c r="B341" s="143" t="s">
        <v>8</v>
      </c>
      <c r="C341" s="123">
        <f aca="true" t="shared" si="26" ref="C341:F342">SUM(C342)</f>
        <v>0</v>
      </c>
      <c r="D341" s="123">
        <f t="shared" si="26"/>
        <v>3200</v>
      </c>
      <c r="E341" s="123">
        <f t="shared" si="26"/>
        <v>3200</v>
      </c>
      <c r="F341" s="123">
        <f t="shared" si="26"/>
        <v>0</v>
      </c>
      <c r="G341" s="163">
        <v>0</v>
      </c>
      <c r="H341" s="164">
        <v>0</v>
      </c>
      <c r="I341" s="10"/>
      <c r="J341" s="10"/>
      <c r="K341" s="10"/>
      <c r="L341" s="10"/>
      <c r="M341" s="10"/>
      <c r="P341" s="17"/>
    </row>
    <row r="342" spans="1:16" s="11" customFormat="1" ht="35.25" customHeight="1">
      <c r="A342" s="170">
        <v>323</v>
      </c>
      <c r="B342" s="131" t="s">
        <v>48</v>
      </c>
      <c r="C342" s="184">
        <f t="shared" si="26"/>
        <v>0</v>
      </c>
      <c r="D342" s="184">
        <f t="shared" si="26"/>
        <v>3200</v>
      </c>
      <c r="E342" s="184">
        <f t="shared" si="26"/>
        <v>3200</v>
      </c>
      <c r="F342" s="184">
        <f t="shared" si="26"/>
        <v>0</v>
      </c>
      <c r="G342" s="172">
        <v>0</v>
      </c>
      <c r="H342" s="173">
        <v>0</v>
      </c>
      <c r="I342" s="10"/>
      <c r="J342" s="10"/>
      <c r="K342" s="10"/>
      <c r="L342" s="10"/>
      <c r="M342" s="10"/>
      <c r="P342" s="17"/>
    </row>
    <row r="343" spans="1:16" s="11" customFormat="1" ht="15">
      <c r="A343" s="55">
        <v>3231</v>
      </c>
      <c r="B343" s="52" t="s">
        <v>176</v>
      </c>
      <c r="C343" s="111">
        <v>0</v>
      </c>
      <c r="D343" s="72">
        <v>3200</v>
      </c>
      <c r="E343" s="72">
        <v>3200</v>
      </c>
      <c r="F343" s="72">
        <v>0</v>
      </c>
      <c r="G343" s="161">
        <v>0</v>
      </c>
      <c r="H343" s="162">
        <v>0</v>
      </c>
      <c r="I343" s="10"/>
      <c r="J343" s="10"/>
      <c r="K343" s="10"/>
      <c r="L343" s="10"/>
      <c r="M343" s="10"/>
      <c r="P343" s="17"/>
    </row>
    <row r="344" spans="1:16" s="11" customFormat="1" ht="15">
      <c r="A344" s="295" t="s">
        <v>3</v>
      </c>
      <c r="B344" s="296"/>
      <c r="C344" s="178">
        <f>SUM(C341,)</f>
        <v>0</v>
      </c>
      <c r="D344" s="178">
        <f>SUM(D341,)</f>
        <v>3200</v>
      </c>
      <c r="E344" s="178">
        <f>SUM(E341,)</f>
        <v>3200</v>
      </c>
      <c r="F344" s="178">
        <f>SUM(F341,)</f>
        <v>0</v>
      </c>
      <c r="G344" s="163" t="e">
        <f>F344/C344*100</f>
        <v>#DIV/0!</v>
      </c>
      <c r="H344" s="164">
        <f>F344/E344*100</f>
        <v>0</v>
      </c>
      <c r="I344" s="10"/>
      <c r="J344" s="10"/>
      <c r="K344" s="10"/>
      <c r="L344" s="10"/>
      <c r="M344" s="10"/>
      <c r="P344" s="17"/>
    </row>
    <row r="345" spans="2:16" s="11" customFormat="1" ht="15">
      <c r="B345" s="9"/>
      <c r="C345" s="9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P345" s="17"/>
    </row>
    <row r="346" spans="2:16" s="11" customFormat="1" ht="15">
      <c r="B346" s="9"/>
      <c r="C346" s="9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P346" s="17"/>
    </row>
    <row r="347" spans="2:16" s="11" customFormat="1" ht="15">
      <c r="B347" s="9"/>
      <c r="C347" s="9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P347" s="17"/>
    </row>
    <row r="348" spans="1:16" s="11" customFormat="1" ht="19.5">
      <c r="A348" s="307" t="s">
        <v>177</v>
      </c>
      <c r="B348" s="308"/>
      <c r="C348" s="224">
        <f aca="true" t="shared" si="27" ref="C348:H348">C371+C380</f>
        <v>13635</v>
      </c>
      <c r="D348" s="224">
        <f t="shared" si="27"/>
        <v>43005</v>
      </c>
      <c r="E348" s="224">
        <f t="shared" si="27"/>
        <v>43005</v>
      </c>
      <c r="F348" s="224">
        <f t="shared" si="27"/>
        <v>10123</v>
      </c>
      <c r="G348" s="224" t="e">
        <f t="shared" si="27"/>
        <v>#DIV/0!</v>
      </c>
      <c r="H348" s="224">
        <f t="shared" si="27"/>
        <v>20.355772584583185</v>
      </c>
      <c r="I348" s="10"/>
      <c r="J348" s="10"/>
      <c r="K348" s="10"/>
      <c r="L348" s="10"/>
      <c r="M348" s="10"/>
      <c r="P348" s="17"/>
    </row>
    <row r="349" spans="1:13" s="35" customFormat="1" ht="15">
      <c r="A349" s="11" t="s">
        <v>167</v>
      </c>
      <c r="B349" s="9"/>
      <c r="C349" s="9"/>
      <c r="D349" s="10"/>
      <c r="E349" s="10"/>
      <c r="F349" s="10"/>
      <c r="G349" s="10"/>
      <c r="H349" s="10"/>
      <c r="I349" s="21"/>
      <c r="J349" s="21"/>
      <c r="K349" s="21"/>
      <c r="L349" s="21"/>
      <c r="M349" s="21"/>
    </row>
    <row r="350" spans="1:16" s="11" customFormat="1" ht="15">
      <c r="A350" s="259" t="s">
        <v>53</v>
      </c>
      <c r="B350" s="261" t="s">
        <v>0</v>
      </c>
      <c r="C350" s="261" t="s">
        <v>117</v>
      </c>
      <c r="D350" s="263" t="s">
        <v>134</v>
      </c>
      <c r="E350" s="263" t="s">
        <v>137</v>
      </c>
      <c r="F350" s="263" t="s">
        <v>136</v>
      </c>
      <c r="G350" s="263" t="s">
        <v>50</v>
      </c>
      <c r="H350" s="263" t="s">
        <v>50</v>
      </c>
      <c r="I350" s="10"/>
      <c r="J350" s="10"/>
      <c r="K350" s="10"/>
      <c r="L350" s="10"/>
      <c r="M350" s="10"/>
      <c r="P350" s="17"/>
    </row>
    <row r="351" spans="1:13" s="73" customFormat="1" ht="15" customHeight="1">
      <c r="A351" s="260"/>
      <c r="B351" s="262"/>
      <c r="C351" s="262"/>
      <c r="D351" s="264"/>
      <c r="E351" s="264"/>
      <c r="F351" s="264"/>
      <c r="G351" s="264"/>
      <c r="H351" s="264"/>
      <c r="I351" s="21"/>
      <c r="J351" s="21"/>
      <c r="K351" s="21"/>
      <c r="L351" s="21"/>
      <c r="M351" s="21"/>
    </row>
    <row r="352" spans="1:16" s="11" customFormat="1" ht="15">
      <c r="A352" s="266">
        <v>1</v>
      </c>
      <c r="B352" s="266"/>
      <c r="C352" s="62">
        <v>2</v>
      </c>
      <c r="D352" s="63">
        <v>3</v>
      </c>
      <c r="E352" s="63">
        <v>4</v>
      </c>
      <c r="F352" s="63">
        <v>5</v>
      </c>
      <c r="G352" s="63" t="s">
        <v>51</v>
      </c>
      <c r="H352" s="63" t="s">
        <v>52</v>
      </c>
      <c r="I352" s="10"/>
      <c r="J352" s="10"/>
      <c r="K352" s="10"/>
      <c r="L352" s="10"/>
      <c r="M352" s="10"/>
      <c r="P352" s="17"/>
    </row>
    <row r="353" spans="1:13" s="73" customFormat="1" ht="15" customHeight="1">
      <c r="A353" s="166">
        <v>32</v>
      </c>
      <c r="B353" s="145" t="s">
        <v>8</v>
      </c>
      <c r="C353" s="174">
        <f>SUM(C357+C361+C363+C354,)</f>
        <v>8540</v>
      </c>
      <c r="D353" s="174">
        <f>SUM(D357+D361+D363+D354,)</f>
        <v>18605</v>
      </c>
      <c r="E353" s="174">
        <f>SUM(E357+E361+E363+E354,)</f>
        <v>18605</v>
      </c>
      <c r="F353" s="174">
        <f>SUM(F357+F361+F363+F354,)</f>
        <v>5711</v>
      </c>
      <c r="G353" s="163">
        <f>F353/C353*100</f>
        <v>66.87353629976582</v>
      </c>
      <c r="H353" s="164">
        <f>F353/E353*100</f>
        <v>30.69604944907283</v>
      </c>
      <c r="I353" s="21"/>
      <c r="J353" s="21"/>
      <c r="K353" s="21"/>
      <c r="L353" s="21"/>
      <c r="M353" s="21"/>
    </row>
    <row r="354" spans="1:13" s="73" customFormat="1" ht="15" customHeight="1">
      <c r="A354" s="170">
        <v>322</v>
      </c>
      <c r="B354" s="131" t="s">
        <v>11</v>
      </c>
      <c r="C354" s="175">
        <f>SUM(C355:C356)</f>
        <v>0</v>
      </c>
      <c r="D354" s="175">
        <f>SUM(D355:D356)</f>
        <v>12005</v>
      </c>
      <c r="E354" s="175">
        <f>SUM(E355:E356)</f>
        <v>12005</v>
      </c>
      <c r="F354" s="175">
        <f>SUM(F355:F356)</f>
        <v>0</v>
      </c>
      <c r="G354" s="172" t="e">
        <f>F354/C354*100</f>
        <v>#DIV/0!</v>
      </c>
      <c r="H354" s="173">
        <f>F354/E354*100</f>
        <v>0</v>
      </c>
      <c r="I354" s="21"/>
      <c r="J354" s="21"/>
      <c r="K354" s="21"/>
      <c r="L354" s="21"/>
      <c r="M354" s="21"/>
    </row>
    <row r="355" spans="1:16" s="11" customFormat="1" ht="15">
      <c r="A355" s="18" t="s">
        <v>60</v>
      </c>
      <c r="B355" s="19" t="s">
        <v>12</v>
      </c>
      <c r="C355" s="104">
        <v>0</v>
      </c>
      <c r="D355" s="56">
        <v>4505</v>
      </c>
      <c r="E355" s="56">
        <v>4505</v>
      </c>
      <c r="F355" s="102">
        <v>0</v>
      </c>
      <c r="G355" s="161" t="e">
        <f>F355/C355*100</f>
        <v>#DIV/0!</v>
      </c>
      <c r="H355" s="162">
        <f>F355/E355*100</f>
        <v>0</v>
      </c>
      <c r="I355" s="10"/>
      <c r="J355" s="10"/>
      <c r="K355" s="10"/>
      <c r="L355" s="10"/>
      <c r="M355" s="10"/>
      <c r="P355" s="17"/>
    </row>
    <row r="356" spans="1:16" s="11" customFormat="1" ht="15">
      <c r="A356" s="55">
        <v>3225</v>
      </c>
      <c r="B356" s="52" t="s">
        <v>157</v>
      </c>
      <c r="C356" s="53">
        <v>0</v>
      </c>
      <c r="D356" s="56">
        <v>7500</v>
      </c>
      <c r="E356" s="56">
        <v>7500</v>
      </c>
      <c r="F356" s="56">
        <v>0</v>
      </c>
      <c r="G356" s="161" t="e">
        <f>F356/C356*100</f>
        <v>#DIV/0!</v>
      </c>
      <c r="H356" s="162">
        <f>F356/E356*100</f>
        <v>0</v>
      </c>
      <c r="I356" s="10"/>
      <c r="J356" s="10"/>
      <c r="K356" s="10"/>
      <c r="L356" s="10"/>
      <c r="M356" s="10"/>
      <c r="P356" s="17"/>
    </row>
    <row r="357" spans="1:16" s="11" customFormat="1" ht="15">
      <c r="A357" s="170">
        <v>323</v>
      </c>
      <c r="B357" s="131" t="s">
        <v>48</v>
      </c>
      <c r="C357" s="181">
        <f>SUM(C358+C360+C359)</f>
        <v>8500</v>
      </c>
      <c r="D357" s="181">
        <f>SUM(D358+D360)</f>
        <v>3500</v>
      </c>
      <c r="E357" s="181">
        <f>SUM(E358+E360)</f>
        <v>3500</v>
      </c>
      <c r="F357" s="181">
        <f>SUM(F358+F360)</f>
        <v>5711</v>
      </c>
      <c r="G357" s="172">
        <v>0</v>
      </c>
      <c r="H357" s="162">
        <f aca="true" t="shared" si="28" ref="H357:H371">F357/E357*100</f>
        <v>163.17142857142858</v>
      </c>
      <c r="I357" s="10"/>
      <c r="J357" s="10"/>
      <c r="K357" s="10"/>
      <c r="L357" s="10"/>
      <c r="M357" s="10"/>
      <c r="P357" s="17"/>
    </row>
    <row r="358" spans="1:16" s="11" customFormat="1" ht="15">
      <c r="A358" s="55">
        <v>3231</v>
      </c>
      <c r="B358" s="52" t="s">
        <v>176</v>
      </c>
      <c r="C358" s="111">
        <v>0</v>
      </c>
      <c r="D358" s="72">
        <v>500</v>
      </c>
      <c r="E358" s="72">
        <v>500</v>
      </c>
      <c r="F358" s="72">
        <v>0</v>
      </c>
      <c r="G358" s="161">
        <v>0</v>
      </c>
      <c r="H358" s="162">
        <f t="shared" si="28"/>
        <v>0</v>
      </c>
      <c r="I358" s="10"/>
      <c r="J358" s="10"/>
      <c r="K358" s="10"/>
      <c r="L358" s="10"/>
      <c r="M358" s="10"/>
      <c r="P358" s="17"/>
    </row>
    <row r="359" spans="1:16" s="11" customFormat="1" ht="15">
      <c r="A359" s="55">
        <v>3237</v>
      </c>
      <c r="B359" s="52" t="s">
        <v>101</v>
      </c>
      <c r="C359" s="111">
        <v>8500</v>
      </c>
      <c r="D359" s="72"/>
      <c r="E359" s="72"/>
      <c r="F359" s="72"/>
      <c r="G359" s="161"/>
      <c r="H359" s="162"/>
      <c r="I359" s="10"/>
      <c r="J359" s="10"/>
      <c r="K359" s="10"/>
      <c r="L359" s="10"/>
      <c r="M359" s="10"/>
      <c r="P359" s="17"/>
    </row>
    <row r="360" spans="1:16" s="11" customFormat="1" ht="15">
      <c r="A360" s="55">
        <v>3239</v>
      </c>
      <c r="B360" s="52" t="s">
        <v>178</v>
      </c>
      <c r="C360" s="111"/>
      <c r="D360" s="72">
        <v>3000</v>
      </c>
      <c r="E360" s="72">
        <v>3000</v>
      </c>
      <c r="F360" s="72">
        <v>5711</v>
      </c>
      <c r="G360" s="161">
        <v>0</v>
      </c>
      <c r="H360" s="162">
        <f t="shared" si="28"/>
        <v>190.36666666666667</v>
      </c>
      <c r="I360" s="10"/>
      <c r="J360" s="10"/>
      <c r="K360" s="10"/>
      <c r="L360" s="10"/>
      <c r="M360" s="10"/>
      <c r="P360" s="17"/>
    </row>
    <row r="361" spans="1:16" s="11" customFormat="1" ht="30">
      <c r="A361" s="170">
        <v>324</v>
      </c>
      <c r="B361" s="131" t="s">
        <v>130</v>
      </c>
      <c r="C361" s="181">
        <f>SUM(C362)</f>
        <v>40</v>
      </c>
      <c r="D361" s="181">
        <f>SUM(D362)</f>
        <v>100</v>
      </c>
      <c r="E361" s="181">
        <f>SUM(E362)</f>
        <v>100</v>
      </c>
      <c r="F361" s="181">
        <f>SUM(F362)</f>
        <v>0</v>
      </c>
      <c r="G361" s="161">
        <f>F361/C361*100</f>
        <v>0</v>
      </c>
      <c r="H361" s="162">
        <f t="shared" si="28"/>
        <v>0</v>
      </c>
      <c r="I361" s="10"/>
      <c r="J361" s="10"/>
      <c r="K361" s="10"/>
      <c r="L361" s="10"/>
      <c r="M361" s="10"/>
      <c r="P361" s="17"/>
    </row>
    <row r="362" spans="1:16" s="11" customFormat="1" ht="15" customHeight="1">
      <c r="A362" s="18">
        <v>3241</v>
      </c>
      <c r="B362" s="19" t="s">
        <v>130</v>
      </c>
      <c r="C362" s="104">
        <v>40</v>
      </c>
      <c r="D362" s="20">
        <v>100</v>
      </c>
      <c r="E362" s="20">
        <v>100</v>
      </c>
      <c r="F362" s="20">
        <v>0</v>
      </c>
      <c r="G362" s="161">
        <f>F362/C362*100</f>
        <v>0</v>
      </c>
      <c r="H362" s="162">
        <f t="shared" si="28"/>
        <v>0</v>
      </c>
      <c r="I362" s="10"/>
      <c r="J362" s="10"/>
      <c r="K362" s="10"/>
      <c r="L362" s="10"/>
      <c r="M362" s="10"/>
      <c r="P362" s="17"/>
    </row>
    <row r="363" spans="1:16" s="11" customFormat="1" ht="35.25" customHeight="1">
      <c r="A363" s="170">
        <v>329</v>
      </c>
      <c r="B363" s="131" t="s">
        <v>15</v>
      </c>
      <c r="C363" s="181">
        <f>SUM(C364)</f>
        <v>0</v>
      </c>
      <c r="D363" s="181">
        <f>SUM(D364)</f>
        <v>3000</v>
      </c>
      <c r="E363" s="181">
        <f>SUM(E364)</f>
        <v>3000</v>
      </c>
      <c r="F363" s="181">
        <f>SUM(F364)</f>
        <v>0</v>
      </c>
      <c r="G363" s="172" t="e">
        <f>F363/C363*100</f>
        <v>#DIV/0!</v>
      </c>
      <c r="H363" s="162">
        <f t="shared" si="28"/>
        <v>0</v>
      </c>
      <c r="I363" s="10"/>
      <c r="J363" s="10"/>
      <c r="K363" s="10"/>
      <c r="L363" s="10"/>
      <c r="M363" s="10"/>
      <c r="P363" s="17"/>
    </row>
    <row r="364" spans="1:16" s="11" customFormat="1" ht="15">
      <c r="A364" s="18" t="s">
        <v>80</v>
      </c>
      <c r="B364" s="19" t="s">
        <v>15</v>
      </c>
      <c r="C364" s="104">
        <v>0</v>
      </c>
      <c r="D364" s="20">
        <v>3000</v>
      </c>
      <c r="E364" s="20">
        <v>3000</v>
      </c>
      <c r="F364" s="20">
        <v>0</v>
      </c>
      <c r="G364" s="161" t="e">
        <f>F364/C364*100</f>
        <v>#DIV/0!</v>
      </c>
      <c r="H364" s="162">
        <f t="shared" si="28"/>
        <v>0</v>
      </c>
      <c r="I364" s="10"/>
      <c r="J364" s="10"/>
      <c r="K364" s="10"/>
      <c r="L364" s="10"/>
      <c r="M364" s="10"/>
      <c r="P364" s="17"/>
    </row>
    <row r="365" spans="1:16" s="11" customFormat="1" ht="15">
      <c r="A365" s="168">
        <v>4</v>
      </c>
      <c r="B365" s="169" t="s">
        <v>114</v>
      </c>
      <c r="C365" s="187">
        <f>SUM(C366)</f>
        <v>5095</v>
      </c>
      <c r="D365" s="187">
        <f>SUM(D366)</f>
        <v>24400</v>
      </c>
      <c r="E365" s="187">
        <f>SUM(E366)</f>
        <v>24400</v>
      </c>
      <c r="F365" s="187">
        <f>SUM(F366)</f>
        <v>3043</v>
      </c>
      <c r="G365" s="163">
        <v>0</v>
      </c>
      <c r="H365" s="162">
        <f t="shared" si="28"/>
        <v>12.471311475409836</v>
      </c>
      <c r="I365" s="10"/>
      <c r="J365" s="10"/>
      <c r="K365" s="10"/>
      <c r="L365" s="10"/>
      <c r="M365" s="10"/>
      <c r="P365" s="17"/>
    </row>
    <row r="366" spans="1:16" s="11" customFormat="1" ht="15">
      <c r="A366" s="185">
        <v>42</v>
      </c>
      <c r="B366" s="186" t="s">
        <v>112</v>
      </c>
      <c r="C366" s="187">
        <f>SUM(C367,C369)</f>
        <v>5095</v>
      </c>
      <c r="D366" s="187">
        <f>SUM(D367,D369)</f>
        <v>24400</v>
      </c>
      <c r="E366" s="187">
        <f>SUM(E367,E369)</f>
        <v>24400</v>
      </c>
      <c r="F366" s="187">
        <f>SUM(F367,F369)</f>
        <v>3043</v>
      </c>
      <c r="G366" s="163">
        <v>0</v>
      </c>
      <c r="H366" s="162">
        <f t="shared" si="28"/>
        <v>12.471311475409836</v>
      </c>
      <c r="I366" s="10"/>
      <c r="J366" s="10"/>
      <c r="K366" s="10"/>
      <c r="L366" s="10"/>
      <c r="M366" s="10"/>
      <c r="P366" s="17"/>
    </row>
    <row r="367" spans="1:13" s="35" customFormat="1" ht="15">
      <c r="A367" s="158">
        <v>422</v>
      </c>
      <c r="B367" s="159" t="s">
        <v>18</v>
      </c>
      <c r="C367" s="160">
        <f>SUM(C368:C368)</f>
        <v>2913</v>
      </c>
      <c r="D367" s="160">
        <f>SUM(D368:D368)</f>
        <v>22000</v>
      </c>
      <c r="E367" s="160">
        <f>SUM(E368:E368)</f>
        <v>22000</v>
      </c>
      <c r="F367" s="160">
        <f>SUM(F368:F368)</f>
        <v>2765</v>
      </c>
      <c r="G367" s="172">
        <v>0</v>
      </c>
      <c r="H367" s="162">
        <f t="shared" si="28"/>
        <v>12.568181818181817</v>
      </c>
      <c r="I367" s="21"/>
      <c r="J367" s="21"/>
      <c r="K367" s="21"/>
      <c r="L367" s="21"/>
      <c r="M367" s="21"/>
    </row>
    <row r="368" spans="1:13" s="73" customFormat="1" ht="15" customHeight="1">
      <c r="A368" s="121">
        <v>4221</v>
      </c>
      <c r="B368" s="61" t="s">
        <v>84</v>
      </c>
      <c r="C368" s="120">
        <v>2913</v>
      </c>
      <c r="D368" s="21">
        <v>22000</v>
      </c>
      <c r="E368" s="21">
        <v>22000</v>
      </c>
      <c r="F368" s="21">
        <v>2765</v>
      </c>
      <c r="G368" s="161">
        <v>0</v>
      </c>
      <c r="H368" s="162">
        <f t="shared" si="28"/>
        <v>12.568181818181817</v>
      </c>
      <c r="I368" s="21"/>
      <c r="J368" s="21"/>
      <c r="K368" s="21"/>
      <c r="L368" s="21"/>
      <c r="M368" s="21"/>
    </row>
    <row r="369" spans="1:13" s="73" customFormat="1" ht="15" customHeight="1">
      <c r="A369" s="158">
        <v>424</v>
      </c>
      <c r="B369" s="159" t="s">
        <v>113</v>
      </c>
      <c r="C369" s="160">
        <f>SUM(C370)</f>
        <v>2182</v>
      </c>
      <c r="D369" s="160">
        <f>SUM(D370)</f>
        <v>2400</v>
      </c>
      <c r="E369" s="160">
        <f>SUM(E370)</f>
        <v>2400</v>
      </c>
      <c r="F369" s="160">
        <f>SUM(F370)</f>
        <v>278</v>
      </c>
      <c r="G369" s="172">
        <v>0</v>
      </c>
      <c r="H369" s="162">
        <f t="shared" si="28"/>
        <v>11.583333333333332</v>
      </c>
      <c r="I369" s="21"/>
      <c r="J369" s="21"/>
      <c r="K369" s="21"/>
      <c r="L369" s="21"/>
      <c r="M369" s="21"/>
    </row>
    <row r="370" spans="1:16" s="11" customFormat="1" ht="15">
      <c r="A370" s="121">
        <v>4241</v>
      </c>
      <c r="B370" s="61" t="s">
        <v>104</v>
      </c>
      <c r="C370" s="120">
        <v>2182</v>
      </c>
      <c r="D370" s="21">
        <v>2400</v>
      </c>
      <c r="E370" s="21">
        <v>2400</v>
      </c>
      <c r="F370" s="21">
        <v>278</v>
      </c>
      <c r="G370" s="161">
        <v>0</v>
      </c>
      <c r="H370" s="162">
        <f t="shared" si="28"/>
        <v>11.583333333333332</v>
      </c>
      <c r="I370" s="10"/>
      <c r="J370" s="10"/>
      <c r="K370" s="10"/>
      <c r="L370" s="10"/>
      <c r="M370" s="10"/>
      <c r="P370" s="17"/>
    </row>
    <row r="371" spans="1:13" s="73" customFormat="1" ht="15" customHeight="1">
      <c r="A371" s="295" t="s">
        <v>3</v>
      </c>
      <c r="B371" s="296"/>
      <c r="C371" s="178">
        <f>SUM(C353+C365)</f>
        <v>13635</v>
      </c>
      <c r="D371" s="178">
        <f>SUM(D353+D365)</f>
        <v>43005</v>
      </c>
      <c r="E371" s="178">
        <f>SUM(E353+E365)</f>
        <v>43005</v>
      </c>
      <c r="F371" s="178">
        <f>SUM(F353+F365)</f>
        <v>8754</v>
      </c>
      <c r="G371" s="163">
        <f>F371/C371*100</f>
        <v>64.2024202420242</v>
      </c>
      <c r="H371" s="162">
        <f t="shared" si="28"/>
        <v>20.355772584583185</v>
      </c>
      <c r="I371" s="21"/>
      <c r="J371" s="21"/>
      <c r="K371" s="21"/>
      <c r="L371" s="21"/>
      <c r="M371" s="21"/>
    </row>
    <row r="372" spans="1:13" s="73" customFormat="1" ht="15" customHeight="1">
      <c r="A372" s="11"/>
      <c r="B372" s="9"/>
      <c r="C372" s="9"/>
      <c r="D372" s="10"/>
      <c r="E372" s="10"/>
      <c r="F372" s="10"/>
      <c r="G372" s="10"/>
      <c r="H372" s="10"/>
      <c r="I372" s="21"/>
      <c r="J372" s="21"/>
      <c r="K372" s="21"/>
      <c r="L372" s="21"/>
      <c r="M372" s="21"/>
    </row>
    <row r="373" spans="1:16" s="11" customFormat="1" ht="15">
      <c r="A373" s="11" t="s">
        <v>192</v>
      </c>
      <c r="B373" s="9"/>
      <c r="C373" s="9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P373" s="17"/>
    </row>
    <row r="374" spans="1:13" s="73" customFormat="1" ht="15" customHeight="1">
      <c r="A374" s="259" t="s">
        <v>53</v>
      </c>
      <c r="B374" s="261" t="s">
        <v>0</v>
      </c>
      <c r="C374" s="261" t="s">
        <v>117</v>
      </c>
      <c r="D374" s="263" t="s">
        <v>134</v>
      </c>
      <c r="E374" s="263" t="s">
        <v>137</v>
      </c>
      <c r="F374" s="263" t="s">
        <v>136</v>
      </c>
      <c r="G374" s="263" t="s">
        <v>50</v>
      </c>
      <c r="H374" s="263" t="s">
        <v>50</v>
      </c>
      <c r="I374" s="21"/>
      <c r="J374" s="21"/>
      <c r="K374" s="21"/>
      <c r="L374" s="21"/>
      <c r="M374" s="21"/>
    </row>
    <row r="375" spans="1:16" s="11" customFormat="1" ht="15">
      <c r="A375" s="260"/>
      <c r="B375" s="262"/>
      <c r="C375" s="262"/>
      <c r="D375" s="264"/>
      <c r="E375" s="264"/>
      <c r="F375" s="264"/>
      <c r="G375" s="264"/>
      <c r="H375" s="264"/>
      <c r="I375" s="10"/>
      <c r="J375" s="10"/>
      <c r="K375" s="10"/>
      <c r="L375" s="10"/>
      <c r="M375" s="10"/>
      <c r="P375" s="17"/>
    </row>
    <row r="376" spans="1:13" s="73" customFormat="1" ht="15" customHeight="1">
      <c r="A376" s="290">
        <v>1</v>
      </c>
      <c r="B376" s="291"/>
      <c r="C376" s="62">
        <v>2</v>
      </c>
      <c r="D376" s="63">
        <v>3</v>
      </c>
      <c r="E376" s="63">
        <v>4</v>
      </c>
      <c r="F376" s="63">
        <v>5</v>
      </c>
      <c r="G376" s="63" t="s">
        <v>51</v>
      </c>
      <c r="H376" s="63" t="s">
        <v>52</v>
      </c>
      <c r="I376" s="21"/>
      <c r="J376" s="21"/>
      <c r="K376" s="21"/>
      <c r="L376" s="21"/>
      <c r="M376" s="21"/>
    </row>
    <row r="377" spans="1:16" s="11" customFormat="1" ht="15">
      <c r="A377" s="166">
        <v>32</v>
      </c>
      <c r="B377" s="145" t="s">
        <v>8</v>
      </c>
      <c r="C377" s="174">
        <f>SUM(C378,)</f>
        <v>0</v>
      </c>
      <c r="D377" s="174">
        <f>SUM(D378,)</f>
        <v>0</v>
      </c>
      <c r="E377" s="174">
        <f>SUM(E378,)</f>
        <v>0</v>
      </c>
      <c r="F377" s="174">
        <f>SUM(F378,)</f>
        <v>1369</v>
      </c>
      <c r="G377" s="174" t="e">
        <f>SUM(G378,)</f>
        <v>#DIV/0!</v>
      </c>
      <c r="H377" s="174">
        <v>0</v>
      </c>
      <c r="I377" s="10"/>
      <c r="J377" s="10"/>
      <c r="K377" s="10"/>
      <c r="L377" s="10"/>
      <c r="M377" s="10"/>
      <c r="P377" s="17"/>
    </row>
    <row r="378" spans="1:16" s="11" customFormat="1" ht="15">
      <c r="A378" s="170">
        <v>322</v>
      </c>
      <c r="B378" s="131" t="s">
        <v>11</v>
      </c>
      <c r="C378" s="175">
        <f>SUM(C379:C379)</f>
        <v>0</v>
      </c>
      <c r="D378" s="175">
        <f>SUM(D379:D379)</f>
        <v>0</v>
      </c>
      <c r="E378" s="175">
        <f>SUM(E379:E379)</f>
        <v>0</v>
      </c>
      <c r="F378" s="175">
        <f>SUM(F379:F379)</f>
        <v>1369</v>
      </c>
      <c r="G378" s="172" t="e">
        <f>F378/C378*100</f>
        <v>#DIV/0!</v>
      </c>
      <c r="H378" s="173">
        <v>0</v>
      </c>
      <c r="I378" s="10"/>
      <c r="J378" s="10"/>
      <c r="K378" s="10"/>
      <c r="L378" s="10"/>
      <c r="M378" s="10"/>
      <c r="P378" s="17"/>
    </row>
    <row r="379" spans="1:16" s="11" customFormat="1" ht="30">
      <c r="A379" s="18">
        <v>3224</v>
      </c>
      <c r="B379" s="19" t="s">
        <v>193</v>
      </c>
      <c r="C379" s="104">
        <v>0</v>
      </c>
      <c r="D379" s="56">
        <v>0</v>
      </c>
      <c r="E379" s="56">
        <v>0</v>
      </c>
      <c r="F379" s="102">
        <v>1369</v>
      </c>
      <c r="G379" s="161" t="e">
        <f>F379/C379*100</f>
        <v>#DIV/0!</v>
      </c>
      <c r="H379" s="162">
        <v>0</v>
      </c>
      <c r="I379" s="10"/>
      <c r="J379" s="10"/>
      <c r="K379" s="10"/>
      <c r="L379" s="10"/>
      <c r="M379" s="10"/>
      <c r="P379" s="17"/>
    </row>
    <row r="380" spans="1:16" s="11" customFormat="1" ht="15">
      <c r="A380" s="295" t="s">
        <v>3</v>
      </c>
      <c r="B380" s="296"/>
      <c r="C380" s="178">
        <f aca="true" t="shared" si="29" ref="C380:H380">SUM(C377)</f>
        <v>0</v>
      </c>
      <c r="D380" s="178">
        <f t="shared" si="29"/>
        <v>0</v>
      </c>
      <c r="E380" s="178">
        <f t="shared" si="29"/>
        <v>0</v>
      </c>
      <c r="F380" s="178">
        <f t="shared" si="29"/>
        <v>1369</v>
      </c>
      <c r="G380" s="178" t="e">
        <f t="shared" si="29"/>
        <v>#DIV/0!</v>
      </c>
      <c r="H380" s="178">
        <f t="shared" si="29"/>
        <v>0</v>
      </c>
      <c r="I380" s="10"/>
      <c r="J380" s="10"/>
      <c r="K380" s="10"/>
      <c r="L380" s="10"/>
      <c r="M380" s="10"/>
      <c r="P380" s="17"/>
    </row>
    <row r="381" spans="2:16" s="11" customFormat="1" ht="15">
      <c r="B381" s="9"/>
      <c r="C381" s="9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P381" s="17"/>
    </row>
    <row r="382" spans="2:16" s="11" customFormat="1" ht="15">
      <c r="B382" s="9"/>
      <c r="C382" s="9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P382" s="17"/>
    </row>
    <row r="383" spans="1:16" s="11" customFormat="1" ht="19.5" customHeight="1">
      <c r="A383" s="303" t="s">
        <v>179</v>
      </c>
      <c r="B383" s="304"/>
      <c r="C383" s="225">
        <f aca="true" t="shared" si="30" ref="C383:H383">C391</f>
        <v>5625</v>
      </c>
      <c r="D383" s="225">
        <f t="shared" si="30"/>
        <v>9500</v>
      </c>
      <c r="E383" s="225">
        <f t="shared" si="30"/>
        <v>9500</v>
      </c>
      <c r="F383" s="225">
        <f t="shared" si="30"/>
        <v>13764</v>
      </c>
      <c r="G383" s="225">
        <f t="shared" si="30"/>
        <v>244.69333333333333</v>
      </c>
      <c r="H383" s="225">
        <f t="shared" si="30"/>
        <v>144.8842105263158</v>
      </c>
      <c r="I383" s="10"/>
      <c r="J383" s="10"/>
      <c r="K383" s="10"/>
      <c r="L383" s="10"/>
      <c r="M383" s="10"/>
      <c r="P383" s="17"/>
    </row>
    <row r="384" spans="1:16" s="11" customFormat="1" ht="15.75" customHeight="1">
      <c r="A384" s="11" t="s">
        <v>172</v>
      </c>
      <c r="B384" s="9"/>
      <c r="C384" s="9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P384" s="17"/>
    </row>
    <row r="385" spans="1:16" s="11" customFormat="1" ht="36" customHeight="1">
      <c r="A385" s="259" t="s">
        <v>53</v>
      </c>
      <c r="B385" s="261" t="s">
        <v>0</v>
      </c>
      <c r="C385" s="261" t="s">
        <v>117</v>
      </c>
      <c r="D385" s="263" t="s">
        <v>134</v>
      </c>
      <c r="E385" s="263" t="s">
        <v>137</v>
      </c>
      <c r="F385" s="263" t="s">
        <v>136</v>
      </c>
      <c r="G385" s="263" t="s">
        <v>50</v>
      </c>
      <c r="H385" s="263" t="s">
        <v>50</v>
      </c>
      <c r="I385" s="10"/>
      <c r="J385" s="10"/>
      <c r="K385" s="10"/>
      <c r="L385" s="10"/>
      <c r="M385" s="10"/>
      <c r="P385" s="17"/>
    </row>
    <row r="386" spans="1:16" s="11" customFormat="1" ht="15">
      <c r="A386" s="260"/>
      <c r="B386" s="262"/>
      <c r="C386" s="262"/>
      <c r="D386" s="264"/>
      <c r="E386" s="264"/>
      <c r="F386" s="264"/>
      <c r="G386" s="264"/>
      <c r="H386" s="264"/>
      <c r="I386" s="10"/>
      <c r="J386" s="10"/>
      <c r="K386" s="10"/>
      <c r="L386" s="10"/>
      <c r="M386" s="10"/>
      <c r="P386" s="17"/>
    </row>
    <row r="387" spans="1:16" s="11" customFormat="1" ht="15">
      <c r="A387" s="290">
        <v>1</v>
      </c>
      <c r="B387" s="291"/>
      <c r="C387" s="62">
        <v>2</v>
      </c>
      <c r="D387" s="63">
        <v>3</v>
      </c>
      <c r="E387" s="63">
        <v>4</v>
      </c>
      <c r="F387" s="63">
        <v>5</v>
      </c>
      <c r="G387" s="63" t="s">
        <v>51</v>
      </c>
      <c r="H387" s="63" t="s">
        <v>52</v>
      </c>
      <c r="I387" s="10"/>
      <c r="J387" s="10"/>
      <c r="K387" s="10"/>
      <c r="L387" s="10"/>
      <c r="M387" s="10"/>
      <c r="P387" s="17"/>
    </row>
    <row r="388" spans="1:16" s="11" customFormat="1" ht="15">
      <c r="A388" s="166">
        <v>32</v>
      </c>
      <c r="B388" s="145" t="s">
        <v>8</v>
      </c>
      <c r="C388" s="174">
        <f>SUM(C389,)</f>
        <v>5625</v>
      </c>
      <c r="D388" s="174">
        <f>SUM(D389,)</f>
        <v>9500</v>
      </c>
      <c r="E388" s="174">
        <f>SUM(E389,)</f>
        <v>9500</v>
      </c>
      <c r="F388" s="174">
        <f>SUM(F389,)</f>
        <v>13764</v>
      </c>
      <c r="G388" s="163">
        <f>F388/C388*100</f>
        <v>244.69333333333333</v>
      </c>
      <c r="H388" s="164">
        <f>F388/E388*100</f>
        <v>144.8842105263158</v>
      </c>
      <c r="I388" s="10"/>
      <c r="J388" s="10"/>
      <c r="K388" s="10"/>
      <c r="L388" s="10"/>
      <c r="M388" s="10"/>
      <c r="P388" s="17"/>
    </row>
    <row r="389" spans="1:16" s="11" customFormat="1" ht="15">
      <c r="A389" s="170">
        <v>323</v>
      </c>
      <c r="B389" s="131" t="s">
        <v>13</v>
      </c>
      <c r="C389" s="181">
        <f>SUM(C390:C390)</f>
        <v>5625</v>
      </c>
      <c r="D389" s="181">
        <f>SUM(D390:D390)</f>
        <v>9500</v>
      </c>
      <c r="E389" s="181">
        <f>SUM(E390:E390)</f>
        <v>9500</v>
      </c>
      <c r="F389" s="181">
        <f>SUM(F390:F390)</f>
        <v>13764</v>
      </c>
      <c r="G389" s="172">
        <f>F389/C389*100</f>
        <v>244.69333333333333</v>
      </c>
      <c r="H389" s="173">
        <f>F389/E389*100</f>
        <v>144.8842105263158</v>
      </c>
      <c r="I389" s="10"/>
      <c r="J389" s="10"/>
      <c r="K389" s="10"/>
      <c r="L389" s="10"/>
      <c r="M389" s="10"/>
      <c r="P389" s="17"/>
    </row>
    <row r="390" spans="1:16" s="11" customFormat="1" ht="15">
      <c r="A390" s="18" t="s">
        <v>72</v>
      </c>
      <c r="B390" s="19" t="s">
        <v>73</v>
      </c>
      <c r="C390" s="104">
        <v>5625</v>
      </c>
      <c r="D390" s="20">
        <v>9500</v>
      </c>
      <c r="E390" s="20">
        <v>9500</v>
      </c>
      <c r="F390" s="20">
        <v>13764</v>
      </c>
      <c r="G390" s="161">
        <f>F390/C390*100</f>
        <v>244.69333333333333</v>
      </c>
      <c r="H390" s="162">
        <f>F390/E390*100</f>
        <v>144.8842105263158</v>
      </c>
      <c r="I390" s="10"/>
      <c r="J390" s="10"/>
      <c r="K390" s="10"/>
      <c r="L390" s="10"/>
      <c r="M390" s="10"/>
      <c r="P390" s="17"/>
    </row>
    <row r="391" spans="1:16" s="11" customFormat="1" ht="15">
      <c r="A391" s="295" t="s">
        <v>3</v>
      </c>
      <c r="B391" s="296"/>
      <c r="C391" s="178">
        <f>SUM(C388)</f>
        <v>5625</v>
      </c>
      <c r="D391" s="178">
        <f>SUM(D388)</f>
        <v>9500</v>
      </c>
      <c r="E391" s="178">
        <f>SUM(E388)</f>
        <v>9500</v>
      </c>
      <c r="F391" s="178">
        <f>SUM(F388)</f>
        <v>13764</v>
      </c>
      <c r="G391" s="163">
        <f>F391/C391*100</f>
        <v>244.69333333333333</v>
      </c>
      <c r="H391" s="164">
        <f>F391/E391*100</f>
        <v>144.8842105263158</v>
      </c>
      <c r="I391" s="10"/>
      <c r="J391" s="10"/>
      <c r="K391" s="10"/>
      <c r="L391" s="10"/>
      <c r="M391" s="10"/>
      <c r="P391" s="17"/>
    </row>
    <row r="392" spans="2:16" s="11" customFormat="1" ht="15">
      <c r="B392" s="9"/>
      <c r="C392" s="9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P392" s="17"/>
    </row>
    <row r="393" spans="2:16" s="11" customFormat="1" ht="15">
      <c r="B393" s="9"/>
      <c r="C393" s="9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P393" s="17"/>
    </row>
    <row r="394" spans="2:16" s="11" customFormat="1" ht="15">
      <c r="B394" s="9"/>
      <c r="C394" s="9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P394" s="17"/>
    </row>
    <row r="395" spans="1:16" s="11" customFormat="1" ht="18.75" customHeight="1">
      <c r="A395" s="303" t="s">
        <v>183</v>
      </c>
      <c r="B395" s="304"/>
      <c r="C395" s="211">
        <f aca="true" t="shared" si="31" ref="C395:H395">C411</f>
        <v>575</v>
      </c>
      <c r="D395" s="211">
        <f t="shared" si="31"/>
        <v>165000</v>
      </c>
      <c r="E395" s="211">
        <f t="shared" si="31"/>
        <v>165000</v>
      </c>
      <c r="F395" s="211">
        <f t="shared" si="31"/>
        <v>0</v>
      </c>
      <c r="G395" s="211">
        <f t="shared" si="31"/>
        <v>0</v>
      </c>
      <c r="H395" s="211">
        <f t="shared" si="31"/>
        <v>0</v>
      </c>
      <c r="I395" s="10"/>
      <c r="J395" s="10"/>
      <c r="K395" s="10"/>
      <c r="L395" s="10"/>
      <c r="M395" s="10"/>
      <c r="P395" s="17"/>
    </row>
    <row r="396" spans="1:16" s="11" customFormat="1" ht="15">
      <c r="A396" s="11" t="s">
        <v>180</v>
      </c>
      <c r="B396" s="9"/>
      <c r="C396" s="9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P396" s="17"/>
    </row>
    <row r="397" spans="1:16" s="11" customFormat="1" ht="15">
      <c r="A397" s="259" t="s">
        <v>53</v>
      </c>
      <c r="B397" s="261" t="s">
        <v>0</v>
      </c>
      <c r="C397" s="261" t="s">
        <v>117</v>
      </c>
      <c r="D397" s="263" t="s">
        <v>134</v>
      </c>
      <c r="E397" s="263" t="s">
        <v>137</v>
      </c>
      <c r="F397" s="263" t="s">
        <v>136</v>
      </c>
      <c r="G397" s="263" t="s">
        <v>50</v>
      </c>
      <c r="H397" s="263" t="s">
        <v>50</v>
      </c>
      <c r="I397" s="10"/>
      <c r="J397" s="10"/>
      <c r="K397" s="10"/>
      <c r="L397" s="10"/>
      <c r="M397" s="10"/>
      <c r="P397" s="17"/>
    </row>
    <row r="398" spans="1:16" s="11" customFormat="1" ht="15">
      <c r="A398" s="260"/>
      <c r="B398" s="262"/>
      <c r="C398" s="262"/>
      <c r="D398" s="264"/>
      <c r="E398" s="264"/>
      <c r="F398" s="264"/>
      <c r="G398" s="264"/>
      <c r="H398" s="264"/>
      <c r="I398" s="10"/>
      <c r="J398" s="10"/>
      <c r="K398" s="10"/>
      <c r="L398" s="10"/>
      <c r="M398" s="10"/>
      <c r="P398" s="17"/>
    </row>
    <row r="399" spans="1:16" s="11" customFormat="1" ht="32.25" customHeight="1">
      <c r="A399" s="290">
        <v>1</v>
      </c>
      <c r="B399" s="291"/>
      <c r="C399" s="62">
        <v>2</v>
      </c>
      <c r="D399" s="63">
        <v>3</v>
      </c>
      <c r="E399" s="63">
        <v>4</v>
      </c>
      <c r="F399" s="63">
        <v>5</v>
      </c>
      <c r="G399" s="63" t="s">
        <v>51</v>
      </c>
      <c r="H399" s="63" t="s">
        <v>52</v>
      </c>
      <c r="I399" s="10"/>
      <c r="J399" s="10"/>
      <c r="K399" s="10"/>
      <c r="L399" s="10"/>
      <c r="M399" s="10"/>
      <c r="P399" s="17"/>
    </row>
    <row r="400" spans="1:16" s="11" customFormat="1" ht="15">
      <c r="A400" s="166">
        <v>32</v>
      </c>
      <c r="B400" s="145" t="s">
        <v>8</v>
      </c>
      <c r="C400" s="174">
        <f>SUM(C401,C404,C406,C408,)</f>
        <v>575</v>
      </c>
      <c r="D400" s="174">
        <f>SUM(D401,D404,D406,D408,)</f>
        <v>165000</v>
      </c>
      <c r="E400" s="174">
        <f>SUM(E401,E404,E406,E408,)</f>
        <v>165000</v>
      </c>
      <c r="F400" s="174">
        <f>SUM(F401,F404,F406,F408,)</f>
        <v>0</v>
      </c>
      <c r="G400" s="163">
        <f>F400/C400*100</f>
        <v>0</v>
      </c>
      <c r="H400" s="164">
        <f>F400/E400*100</f>
        <v>0</v>
      </c>
      <c r="I400" s="10"/>
      <c r="J400" s="10"/>
      <c r="K400" s="10"/>
      <c r="L400" s="10"/>
      <c r="M400" s="10"/>
      <c r="P400" s="17"/>
    </row>
    <row r="401" spans="1:16" s="11" customFormat="1" ht="15">
      <c r="A401" s="170">
        <v>321</v>
      </c>
      <c r="B401" s="131" t="s">
        <v>9</v>
      </c>
      <c r="C401" s="175">
        <f>SUM(C402:C403)</f>
        <v>0</v>
      </c>
      <c r="D401" s="175">
        <f>SUM(D402:D403)</f>
        <v>153000</v>
      </c>
      <c r="E401" s="175">
        <f>SUM(E402:E403)</f>
        <v>153000</v>
      </c>
      <c r="F401" s="175">
        <f>SUM(F402:F403)</f>
        <v>0</v>
      </c>
      <c r="G401" s="172" t="e">
        <f>F401/C401*100</f>
        <v>#DIV/0!</v>
      </c>
      <c r="H401" s="173">
        <v>0</v>
      </c>
      <c r="I401" s="10"/>
      <c r="J401" s="10"/>
      <c r="K401" s="10"/>
      <c r="L401" s="10"/>
      <c r="M401" s="10"/>
      <c r="P401" s="17"/>
    </row>
    <row r="402" spans="1:16" s="11" customFormat="1" ht="15">
      <c r="A402" s="18">
        <v>3211</v>
      </c>
      <c r="B402" s="19" t="s">
        <v>58</v>
      </c>
      <c r="C402" s="75">
        <v>0</v>
      </c>
      <c r="D402" s="29">
        <v>150000</v>
      </c>
      <c r="E402" s="29">
        <v>150000</v>
      </c>
      <c r="F402" s="29">
        <v>0</v>
      </c>
      <c r="G402" s="161" t="e">
        <f>F402/C402*100</f>
        <v>#DIV/0!</v>
      </c>
      <c r="H402" s="162">
        <v>0</v>
      </c>
      <c r="I402" s="10"/>
      <c r="J402" s="10"/>
      <c r="K402" s="10"/>
      <c r="L402" s="10"/>
      <c r="M402" s="10"/>
      <c r="P402" s="17"/>
    </row>
    <row r="403" spans="1:16" s="35" customFormat="1" ht="30">
      <c r="A403" s="18">
        <v>3214</v>
      </c>
      <c r="B403" s="19" t="s">
        <v>156</v>
      </c>
      <c r="C403" s="75">
        <v>0</v>
      </c>
      <c r="D403" s="29">
        <v>3000</v>
      </c>
      <c r="E403" s="29">
        <v>3000</v>
      </c>
      <c r="F403" s="29">
        <v>0</v>
      </c>
      <c r="G403" s="161">
        <v>0</v>
      </c>
      <c r="H403" s="162">
        <v>0</v>
      </c>
      <c r="I403" s="21"/>
      <c r="J403" s="21"/>
      <c r="K403" s="21"/>
      <c r="L403" s="21"/>
      <c r="M403" s="21"/>
      <c r="P403" s="3"/>
    </row>
    <row r="404" spans="1:16" s="11" customFormat="1" ht="15">
      <c r="A404" s="170">
        <v>322</v>
      </c>
      <c r="B404" s="131" t="s">
        <v>11</v>
      </c>
      <c r="C404" s="175">
        <f>SUM(C405:C405)</f>
        <v>575</v>
      </c>
      <c r="D404" s="175">
        <f>SUM(D405:D405)</f>
        <v>3000</v>
      </c>
      <c r="E404" s="175">
        <f>SUM(E405:E405)</f>
        <v>3000</v>
      </c>
      <c r="F404" s="175">
        <f>SUM(F405:F405)</f>
        <v>0</v>
      </c>
      <c r="G404" s="172">
        <f>F404/C404*100</f>
        <v>0</v>
      </c>
      <c r="H404" s="173">
        <f>F404/E404*100</f>
        <v>0</v>
      </c>
      <c r="I404" s="10"/>
      <c r="J404" s="10"/>
      <c r="K404" s="10"/>
      <c r="L404" s="10"/>
      <c r="M404" s="10"/>
      <c r="P404" s="17"/>
    </row>
    <row r="405" spans="1:16" s="11" customFormat="1" ht="15">
      <c r="A405" s="18" t="s">
        <v>60</v>
      </c>
      <c r="B405" s="19" t="s">
        <v>12</v>
      </c>
      <c r="C405" s="104">
        <v>575</v>
      </c>
      <c r="D405" s="56">
        <v>3000</v>
      </c>
      <c r="E405" s="56">
        <v>3000</v>
      </c>
      <c r="F405" s="102">
        <v>0</v>
      </c>
      <c r="G405" s="161">
        <f>F405/C405*100</f>
        <v>0</v>
      </c>
      <c r="H405" s="162">
        <f>F405/E405*100</f>
        <v>0</v>
      </c>
      <c r="I405" s="10"/>
      <c r="J405" s="10"/>
      <c r="K405" s="10"/>
      <c r="L405" s="10"/>
      <c r="M405" s="10"/>
      <c r="P405" s="17"/>
    </row>
    <row r="406" spans="1:16" s="11" customFormat="1" ht="15">
      <c r="A406" s="170">
        <v>323</v>
      </c>
      <c r="B406" s="131" t="s">
        <v>13</v>
      </c>
      <c r="C406" s="175">
        <f>SUM(C407:C407)</f>
        <v>0</v>
      </c>
      <c r="D406" s="175">
        <f>SUM(D407:D407)</f>
        <v>3000</v>
      </c>
      <c r="E406" s="175">
        <f>SUM(E407:E407)</f>
        <v>3000</v>
      </c>
      <c r="F406" s="175">
        <f>SUM(F407:F407)</f>
        <v>0</v>
      </c>
      <c r="G406" s="172" t="e">
        <f>F406/C406*100</f>
        <v>#DIV/0!</v>
      </c>
      <c r="H406" s="173">
        <f>F406/E406*100</f>
        <v>0</v>
      </c>
      <c r="I406" s="10"/>
      <c r="J406" s="10"/>
      <c r="K406" s="10"/>
      <c r="L406" s="10"/>
      <c r="M406" s="10"/>
      <c r="P406" s="17"/>
    </row>
    <row r="407" spans="1:15" ht="15">
      <c r="A407" s="121">
        <v>3233</v>
      </c>
      <c r="B407" s="61" t="s">
        <v>181</v>
      </c>
      <c r="C407" s="21">
        <v>0</v>
      </c>
      <c r="D407" s="122">
        <v>3000</v>
      </c>
      <c r="E407" s="122">
        <v>3000</v>
      </c>
      <c r="F407" s="122">
        <v>0</v>
      </c>
      <c r="G407" s="161">
        <v>0</v>
      </c>
      <c r="H407" s="162">
        <v>0</v>
      </c>
      <c r="I407" s="15"/>
      <c r="J407" s="15"/>
      <c r="K407" s="15"/>
      <c r="L407" s="15"/>
      <c r="M407" s="15"/>
      <c r="N407" s="30"/>
      <c r="O407" s="30"/>
    </row>
    <row r="408" spans="1:16" s="11" customFormat="1" ht="15">
      <c r="A408" s="170">
        <v>329</v>
      </c>
      <c r="B408" s="131" t="s">
        <v>15</v>
      </c>
      <c r="C408" s="175">
        <f>C409+C410</f>
        <v>0</v>
      </c>
      <c r="D408" s="175">
        <f>D409+D410</f>
        <v>6000</v>
      </c>
      <c r="E408" s="175">
        <f>E409+E410</f>
        <v>6000</v>
      </c>
      <c r="F408" s="175">
        <f>F409+F410</f>
        <v>0</v>
      </c>
      <c r="G408" s="161">
        <v>0</v>
      </c>
      <c r="H408" s="162">
        <f>F408/E408*100</f>
        <v>0</v>
      </c>
      <c r="I408" s="10"/>
      <c r="J408" s="10"/>
      <c r="K408" s="10"/>
      <c r="L408" s="10"/>
      <c r="M408" s="10"/>
      <c r="P408" s="17"/>
    </row>
    <row r="409" spans="1:16" s="11" customFormat="1" ht="15" customHeight="1">
      <c r="A409" s="121">
        <v>3292</v>
      </c>
      <c r="B409" s="61" t="s">
        <v>182</v>
      </c>
      <c r="C409" s="21">
        <v>0</v>
      </c>
      <c r="D409" s="122">
        <v>3000</v>
      </c>
      <c r="E409" s="122">
        <v>3000</v>
      </c>
      <c r="F409" s="122">
        <v>0</v>
      </c>
      <c r="G409" s="161">
        <v>0</v>
      </c>
      <c r="H409" s="162">
        <f>F409/E409*100</f>
        <v>0</v>
      </c>
      <c r="I409" s="10"/>
      <c r="J409" s="10"/>
      <c r="K409" s="10"/>
      <c r="L409" s="10"/>
      <c r="M409" s="10"/>
      <c r="P409" s="17"/>
    </row>
    <row r="410" spans="1:16" s="11" customFormat="1" ht="15">
      <c r="A410" s="121">
        <v>3293</v>
      </c>
      <c r="B410" s="61" t="s">
        <v>78</v>
      </c>
      <c r="C410" s="21">
        <v>0</v>
      </c>
      <c r="D410" s="122">
        <v>3000</v>
      </c>
      <c r="E410" s="122">
        <v>3000</v>
      </c>
      <c r="F410" s="122">
        <v>0</v>
      </c>
      <c r="G410" s="161" t="e">
        <f>F410/C410*100</f>
        <v>#DIV/0!</v>
      </c>
      <c r="H410" s="162">
        <v>0</v>
      </c>
      <c r="I410" s="10"/>
      <c r="J410" s="10"/>
      <c r="K410" s="10"/>
      <c r="L410" s="10"/>
      <c r="M410" s="10"/>
      <c r="P410" s="17"/>
    </row>
    <row r="411" spans="1:16" s="11" customFormat="1" ht="15">
      <c r="A411" s="295" t="s">
        <v>3</v>
      </c>
      <c r="B411" s="296"/>
      <c r="C411" s="178">
        <f>SUM(C400,)</f>
        <v>575</v>
      </c>
      <c r="D411" s="178">
        <f>SUM(D400,)</f>
        <v>165000</v>
      </c>
      <c r="E411" s="178">
        <f>SUM(E400,)</f>
        <v>165000</v>
      </c>
      <c r="F411" s="178">
        <f>SUM(F400,)</f>
        <v>0</v>
      </c>
      <c r="G411" s="163">
        <f>F411/C411*100</f>
        <v>0</v>
      </c>
      <c r="H411" s="164">
        <f>F411/E411*100</f>
        <v>0</v>
      </c>
      <c r="I411" s="10"/>
      <c r="J411" s="10"/>
      <c r="K411" s="10"/>
      <c r="L411" s="10"/>
      <c r="M411" s="10"/>
      <c r="P411" s="17"/>
    </row>
    <row r="412" spans="2:16" s="11" customFormat="1" ht="15">
      <c r="B412" s="9"/>
      <c r="C412" s="9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P412" s="17"/>
    </row>
    <row r="413" spans="2:16" s="11" customFormat="1" ht="32.25" customHeight="1">
      <c r="B413" s="9"/>
      <c r="C413" s="9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P413" s="17"/>
    </row>
    <row r="414" spans="2:16" s="11" customFormat="1" ht="15">
      <c r="B414" s="9"/>
      <c r="C414" s="9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P414" s="17"/>
    </row>
    <row r="415" spans="1:16" s="11" customFormat="1" ht="19.5" customHeight="1">
      <c r="A415" s="303" t="s">
        <v>184</v>
      </c>
      <c r="B415" s="304"/>
      <c r="C415" s="225">
        <f aca="true" t="shared" si="32" ref="C415:H415">C431</f>
        <v>165496</v>
      </c>
      <c r="D415" s="225">
        <f t="shared" si="32"/>
        <v>160700</v>
      </c>
      <c r="E415" s="225">
        <f t="shared" si="32"/>
        <v>103041</v>
      </c>
      <c r="F415" s="225">
        <f t="shared" si="32"/>
        <v>115041.3</v>
      </c>
      <c r="G415" s="225">
        <f t="shared" si="32"/>
        <v>69.51303959008072</v>
      </c>
      <c r="H415" s="225">
        <f t="shared" si="32"/>
        <v>111.64614085655225</v>
      </c>
      <c r="I415" s="10"/>
      <c r="J415" s="10"/>
      <c r="K415" s="10"/>
      <c r="L415" s="10"/>
      <c r="M415" s="10"/>
      <c r="P415" s="17"/>
    </row>
    <row r="416" spans="1:16" s="11" customFormat="1" ht="15">
      <c r="A416" s="11" t="s">
        <v>172</v>
      </c>
      <c r="B416" s="9"/>
      <c r="C416" s="9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P416" s="17"/>
    </row>
    <row r="417" spans="1:16" s="35" customFormat="1" ht="15">
      <c r="A417" s="259" t="s">
        <v>53</v>
      </c>
      <c r="B417" s="261" t="s">
        <v>0</v>
      </c>
      <c r="C417" s="261" t="s">
        <v>117</v>
      </c>
      <c r="D417" s="263" t="s">
        <v>134</v>
      </c>
      <c r="E417" s="263" t="s">
        <v>137</v>
      </c>
      <c r="F417" s="263" t="s">
        <v>136</v>
      </c>
      <c r="G417" s="263" t="s">
        <v>50</v>
      </c>
      <c r="H417" s="263" t="s">
        <v>50</v>
      </c>
      <c r="I417" s="21"/>
      <c r="J417" s="21"/>
      <c r="K417" s="21"/>
      <c r="L417" s="21"/>
      <c r="M417" s="21"/>
      <c r="P417" s="3"/>
    </row>
    <row r="418" spans="1:16" s="11" customFormat="1" ht="15">
      <c r="A418" s="260"/>
      <c r="B418" s="262"/>
      <c r="C418" s="262"/>
      <c r="D418" s="264"/>
      <c r="E418" s="264"/>
      <c r="F418" s="264"/>
      <c r="G418" s="264"/>
      <c r="H418" s="264"/>
      <c r="I418" s="10"/>
      <c r="J418" s="10"/>
      <c r="K418" s="10"/>
      <c r="L418" s="10"/>
      <c r="M418" s="10"/>
      <c r="P418" s="17"/>
    </row>
    <row r="419" spans="1:16" s="11" customFormat="1" ht="15">
      <c r="A419" s="290">
        <v>1</v>
      </c>
      <c r="B419" s="291"/>
      <c r="C419" s="62">
        <v>2</v>
      </c>
      <c r="D419" s="63">
        <v>3</v>
      </c>
      <c r="E419" s="63">
        <v>4</v>
      </c>
      <c r="F419" s="63">
        <v>5</v>
      </c>
      <c r="G419" s="63" t="s">
        <v>51</v>
      </c>
      <c r="H419" s="63" t="s">
        <v>52</v>
      </c>
      <c r="I419" s="10"/>
      <c r="J419" s="10"/>
      <c r="K419" s="10"/>
      <c r="L419" s="10"/>
      <c r="M419" s="10"/>
      <c r="P419" s="17"/>
    </row>
    <row r="420" spans="1:16" s="11" customFormat="1" ht="15">
      <c r="A420" s="183">
        <v>31</v>
      </c>
      <c r="B420" s="143" t="s">
        <v>4</v>
      </c>
      <c r="C420" s="179">
        <f>SUM(C421,C423,C425)</f>
        <v>161528</v>
      </c>
      <c r="D420" s="179">
        <f>SUM(D421,D423,D425)</f>
        <v>148300</v>
      </c>
      <c r="E420" s="179">
        <f>SUM(E421,E423,E425)</f>
        <v>99899</v>
      </c>
      <c r="F420" s="179">
        <f>SUM(F421,F423,F425)</f>
        <v>111899</v>
      </c>
      <c r="G420" s="163">
        <f>F420/C420*100</f>
        <v>69.2752959239265</v>
      </c>
      <c r="H420" s="164">
        <f aca="true" t="shared" si="33" ref="H420:H430">F420/E420*100</f>
        <v>112.01213225357611</v>
      </c>
      <c r="I420" s="10"/>
      <c r="J420" s="10"/>
      <c r="K420" s="10"/>
      <c r="L420" s="10"/>
      <c r="M420" s="10"/>
      <c r="P420" s="17"/>
    </row>
    <row r="421" spans="1:13" s="35" customFormat="1" ht="15">
      <c r="A421" s="170">
        <v>311</v>
      </c>
      <c r="B421" s="131" t="s">
        <v>115</v>
      </c>
      <c r="C421" s="181">
        <f>SUM(C422)</f>
        <v>133500</v>
      </c>
      <c r="D421" s="181">
        <f>SUM(D422)</f>
        <v>117000</v>
      </c>
      <c r="E421" s="181">
        <f>SUM(E422)</f>
        <v>80600</v>
      </c>
      <c r="F421" s="181">
        <f>SUM(F422)</f>
        <v>80600</v>
      </c>
      <c r="G421" s="172">
        <f>F421/C421*100</f>
        <v>60.37453183520599</v>
      </c>
      <c r="H421" s="173">
        <f t="shared" si="33"/>
        <v>100</v>
      </c>
      <c r="I421" s="21"/>
      <c r="J421" s="21"/>
      <c r="K421" s="21"/>
      <c r="L421" s="21"/>
      <c r="M421" s="21"/>
    </row>
    <row r="422" spans="1:13" s="73" customFormat="1" ht="15" customHeight="1">
      <c r="A422" s="18">
        <v>3111</v>
      </c>
      <c r="B422" s="19" t="s">
        <v>54</v>
      </c>
      <c r="C422" s="70">
        <v>133500</v>
      </c>
      <c r="D422" s="105">
        <v>117000</v>
      </c>
      <c r="E422" s="105">
        <v>80600</v>
      </c>
      <c r="F422" s="105">
        <v>80600</v>
      </c>
      <c r="G422" s="161">
        <f>F422/C422*100</f>
        <v>60.37453183520599</v>
      </c>
      <c r="H422" s="162">
        <f t="shared" si="33"/>
        <v>100</v>
      </c>
      <c r="I422" s="21"/>
      <c r="J422" s="21"/>
      <c r="K422" s="21"/>
      <c r="L422" s="21"/>
      <c r="M422" s="21"/>
    </row>
    <row r="423" spans="1:13" s="73" customFormat="1" ht="15" customHeight="1">
      <c r="A423" s="170">
        <v>312</v>
      </c>
      <c r="B423" s="131" t="s">
        <v>116</v>
      </c>
      <c r="C423" s="181">
        <f>SUM(C424)</f>
        <v>6000</v>
      </c>
      <c r="D423" s="181">
        <f>SUM(D424)</f>
        <v>12000</v>
      </c>
      <c r="E423" s="181">
        <f>SUM(E424)</f>
        <v>6000</v>
      </c>
      <c r="F423" s="181">
        <f>SUM(F424)</f>
        <v>18000</v>
      </c>
      <c r="G423" s="172">
        <f aca="true" t="shared" si="34" ref="G423:G430">F423/C423*100</f>
        <v>300</v>
      </c>
      <c r="H423" s="173">
        <f t="shared" si="33"/>
        <v>300</v>
      </c>
      <c r="I423" s="21"/>
      <c r="J423" s="21"/>
      <c r="K423" s="21"/>
      <c r="L423" s="21"/>
      <c r="M423" s="21"/>
    </row>
    <row r="424" spans="1:16" s="11" customFormat="1" ht="15">
      <c r="A424" s="27">
        <v>3121</v>
      </c>
      <c r="B424" s="28" t="s">
        <v>116</v>
      </c>
      <c r="C424" s="74">
        <v>6000</v>
      </c>
      <c r="D424" s="74">
        <v>12000</v>
      </c>
      <c r="E424" s="74">
        <v>6000</v>
      </c>
      <c r="F424" s="29">
        <v>18000</v>
      </c>
      <c r="G424" s="161">
        <f t="shared" si="34"/>
        <v>300</v>
      </c>
      <c r="H424" s="162">
        <f t="shared" si="33"/>
        <v>300</v>
      </c>
      <c r="I424" s="10"/>
      <c r="J424" s="10"/>
      <c r="K424" s="10"/>
      <c r="L424" s="10"/>
      <c r="M424" s="10"/>
      <c r="P424" s="17"/>
    </row>
    <row r="425" spans="1:13" s="73" customFormat="1" ht="15" customHeight="1">
      <c r="A425" s="170">
        <v>313</v>
      </c>
      <c r="B425" s="131" t="s">
        <v>7</v>
      </c>
      <c r="C425" s="181">
        <f>SUM(C426:C426)</f>
        <v>22028</v>
      </c>
      <c r="D425" s="181">
        <f>SUM(D426:D426)</f>
        <v>19300</v>
      </c>
      <c r="E425" s="181">
        <f>SUM(E426:E426)</f>
        <v>13299</v>
      </c>
      <c r="F425" s="181">
        <f>SUM(F426:F426)</f>
        <v>13299</v>
      </c>
      <c r="G425" s="172">
        <f t="shared" si="34"/>
        <v>60.37316143090612</v>
      </c>
      <c r="H425" s="162">
        <f t="shared" si="33"/>
        <v>100</v>
      </c>
      <c r="I425" s="21"/>
      <c r="J425" s="21"/>
      <c r="K425" s="21"/>
      <c r="L425" s="21"/>
      <c r="M425" s="21"/>
    </row>
    <row r="426" spans="1:13" s="73" customFormat="1" ht="15" customHeight="1">
      <c r="A426" s="27">
        <v>3132</v>
      </c>
      <c r="B426" s="28" t="s">
        <v>55</v>
      </c>
      <c r="C426" s="74">
        <v>22028</v>
      </c>
      <c r="D426" s="74">
        <v>19300</v>
      </c>
      <c r="E426" s="74">
        <v>13299</v>
      </c>
      <c r="F426" s="29">
        <v>13299</v>
      </c>
      <c r="G426" s="161">
        <f t="shared" si="34"/>
        <v>60.37316143090612</v>
      </c>
      <c r="H426" s="173">
        <f t="shared" si="33"/>
        <v>100</v>
      </c>
      <c r="I426" s="21"/>
      <c r="J426" s="21"/>
      <c r="K426" s="21"/>
      <c r="L426" s="21"/>
      <c r="M426" s="21"/>
    </row>
    <row r="427" spans="1:13" s="73" customFormat="1" ht="15" customHeight="1">
      <c r="A427" s="166">
        <v>32</v>
      </c>
      <c r="B427" s="145" t="s">
        <v>8</v>
      </c>
      <c r="C427" s="180">
        <f>SUM(C428,)</f>
        <v>3968</v>
      </c>
      <c r="D427" s="180">
        <f>SUM(D428,)</f>
        <v>12400</v>
      </c>
      <c r="E427" s="180">
        <f>SUM(E428,)</f>
        <v>3142</v>
      </c>
      <c r="F427" s="180">
        <f>SUM(F428,)</f>
        <v>3142.3</v>
      </c>
      <c r="G427" s="163">
        <f t="shared" si="34"/>
        <v>79.19102822580646</v>
      </c>
      <c r="H427" s="162">
        <f t="shared" si="33"/>
        <v>100.00954805856144</v>
      </c>
      <c r="I427" s="21"/>
      <c r="J427" s="21"/>
      <c r="K427" s="21"/>
      <c r="L427" s="21"/>
      <c r="M427" s="21"/>
    </row>
    <row r="428" spans="1:16" s="11" customFormat="1" ht="15">
      <c r="A428" s="170">
        <v>321</v>
      </c>
      <c r="B428" s="131" t="s">
        <v>9</v>
      </c>
      <c r="C428" s="181">
        <f>SUM(C429:C430)</f>
        <v>3968</v>
      </c>
      <c r="D428" s="181">
        <f>SUM(D429:D430)</f>
        <v>12400</v>
      </c>
      <c r="E428" s="181">
        <f>SUM(E429:E430)</f>
        <v>3142</v>
      </c>
      <c r="F428" s="181">
        <f>SUM(F429:F430)</f>
        <v>3142.3</v>
      </c>
      <c r="G428" s="172">
        <f t="shared" si="34"/>
        <v>79.19102822580646</v>
      </c>
      <c r="H428" s="162">
        <f t="shared" si="33"/>
        <v>100.00954805856144</v>
      </c>
      <c r="I428" s="10"/>
      <c r="J428" s="10"/>
      <c r="K428" s="10"/>
      <c r="L428" s="10"/>
      <c r="M428" s="10"/>
      <c r="P428" s="17"/>
    </row>
    <row r="429" spans="1:13" s="73" customFormat="1" ht="15" customHeight="1">
      <c r="A429" s="18">
        <v>3211</v>
      </c>
      <c r="B429" s="19" t="s">
        <v>58</v>
      </c>
      <c r="C429" s="70">
        <v>0</v>
      </c>
      <c r="D429" s="20">
        <v>1000</v>
      </c>
      <c r="E429" s="20">
        <v>0</v>
      </c>
      <c r="F429" s="20">
        <v>0</v>
      </c>
      <c r="G429" s="161" t="e">
        <f t="shared" si="34"/>
        <v>#DIV/0!</v>
      </c>
      <c r="H429" s="173">
        <v>0</v>
      </c>
      <c r="I429" s="21"/>
      <c r="J429" s="21"/>
      <c r="K429" s="21"/>
      <c r="L429" s="21"/>
      <c r="M429" s="21"/>
    </row>
    <row r="430" spans="1:16" s="11" customFormat="1" ht="30">
      <c r="A430" s="18">
        <v>3212</v>
      </c>
      <c r="B430" s="19" t="s">
        <v>10</v>
      </c>
      <c r="C430" s="70">
        <v>3968</v>
      </c>
      <c r="D430" s="20">
        <v>11400</v>
      </c>
      <c r="E430" s="20">
        <v>3142</v>
      </c>
      <c r="F430" s="20">
        <v>3142.3</v>
      </c>
      <c r="G430" s="161">
        <f t="shared" si="34"/>
        <v>79.19102822580646</v>
      </c>
      <c r="H430" s="162">
        <f t="shared" si="33"/>
        <v>100.00954805856144</v>
      </c>
      <c r="I430" s="10"/>
      <c r="J430" s="10"/>
      <c r="K430" s="10"/>
      <c r="L430" s="10"/>
      <c r="M430" s="10"/>
      <c r="P430" s="17"/>
    </row>
    <row r="431" spans="1:15" ht="17.25" customHeight="1">
      <c r="A431" s="295" t="s">
        <v>3</v>
      </c>
      <c r="B431" s="296"/>
      <c r="C431" s="182">
        <f>SUM(C420,C427,)</f>
        <v>165496</v>
      </c>
      <c r="D431" s="182">
        <f>SUM(D420,D427,)</f>
        <v>160700</v>
      </c>
      <c r="E431" s="182">
        <f>SUM(E420,E427,)</f>
        <v>103041</v>
      </c>
      <c r="F431" s="182">
        <f>SUM(F420,F427,)</f>
        <v>115041.3</v>
      </c>
      <c r="G431" s="163">
        <f>F431/C431*100</f>
        <v>69.51303959008072</v>
      </c>
      <c r="H431" s="164">
        <f>F431/E431*100</f>
        <v>111.64614085655225</v>
      </c>
      <c r="I431" s="33"/>
      <c r="J431" s="33"/>
      <c r="K431" s="33"/>
      <c r="L431" s="33"/>
      <c r="M431" s="33"/>
      <c r="N431" s="30"/>
      <c r="O431" s="30"/>
    </row>
    <row r="432" spans="1:15" ht="17.25" customHeight="1">
      <c r="A432" s="11"/>
      <c r="B432" s="9"/>
      <c r="C432" s="9"/>
      <c r="D432" s="10"/>
      <c r="E432" s="10"/>
      <c r="F432" s="10"/>
      <c r="G432" s="10"/>
      <c r="H432" s="10"/>
      <c r="I432" s="33"/>
      <c r="J432" s="33"/>
      <c r="K432" s="33"/>
      <c r="L432" s="33"/>
      <c r="M432" s="33"/>
      <c r="N432" s="30"/>
      <c r="O432" s="30"/>
    </row>
    <row r="433" spans="2:16" s="11" customFormat="1" ht="15">
      <c r="B433" s="9"/>
      <c r="C433" s="9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P433" s="17"/>
    </row>
    <row r="434" spans="1:13" s="35" customFormat="1" ht="15">
      <c r="A434" s="11"/>
      <c r="B434" s="9"/>
      <c r="C434" s="9"/>
      <c r="D434" s="10"/>
      <c r="E434" s="10"/>
      <c r="F434" s="10"/>
      <c r="G434" s="10"/>
      <c r="H434" s="10"/>
      <c r="I434" s="21"/>
      <c r="J434" s="21"/>
      <c r="K434" s="21"/>
      <c r="L434" s="21"/>
      <c r="M434" s="21"/>
    </row>
    <row r="435" spans="1:13" s="35" customFormat="1" ht="19.5" customHeight="1">
      <c r="A435" s="303" t="s">
        <v>185</v>
      </c>
      <c r="B435" s="304"/>
      <c r="C435" s="225">
        <f aca="true" t="shared" si="35" ref="C435:H435">C451</f>
        <v>0</v>
      </c>
      <c r="D435" s="225">
        <f t="shared" si="35"/>
        <v>0</v>
      </c>
      <c r="E435" s="225">
        <f t="shared" si="35"/>
        <v>157840</v>
      </c>
      <c r="F435" s="225">
        <f t="shared" si="35"/>
        <v>140439</v>
      </c>
      <c r="G435" s="225" t="e">
        <f t="shared" si="35"/>
        <v>#DIV/0!</v>
      </c>
      <c r="H435" s="225">
        <f t="shared" si="35"/>
        <v>88.97554485554993</v>
      </c>
      <c r="I435" s="21"/>
      <c r="J435" s="21"/>
      <c r="K435" s="21"/>
      <c r="L435" s="21"/>
      <c r="M435" s="21"/>
    </row>
    <row r="436" spans="1:16" s="11" customFormat="1" ht="15">
      <c r="A436" s="11" t="s">
        <v>172</v>
      </c>
      <c r="B436" s="9"/>
      <c r="C436" s="9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P436" s="17"/>
    </row>
    <row r="437" spans="1:16" s="11" customFormat="1" ht="15">
      <c r="A437" s="259" t="s">
        <v>53</v>
      </c>
      <c r="B437" s="261" t="s">
        <v>0</v>
      </c>
      <c r="C437" s="261" t="s">
        <v>117</v>
      </c>
      <c r="D437" s="263" t="s">
        <v>134</v>
      </c>
      <c r="E437" s="263" t="s">
        <v>137</v>
      </c>
      <c r="F437" s="263" t="s">
        <v>136</v>
      </c>
      <c r="G437" s="263" t="s">
        <v>50</v>
      </c>
      <c r="H437" s="263" t="s">
        <v>50</v>
      </c>
      <c r="I437" s="10"/>
      <c r="J437" s="10"/>
      <c r="K437" s="10"/>
      <c r="L437" s="10"/>
      <c r="M437" s="10"/>
      <c r="P437" s="17"/>
    </row>
    <row r="438" spans="1:16" s="11" customFormat="1" ht="15">
      <c r="A438" s="260"/>
      <c r="B438" s="262"/>
      <c r="C438" s="262"/>
      <c r="D438" s="264"/>
      <c r="E438" s="264"/>
      <c r="F438" s="264"/>
      <c r="G438" s="264"/>
      <c r="H438" s="264"/>
      <c r="I438" s="10"/>
      <c r="J438" s="10"/>
      <c r="K438" s="10"/>
      <c r="L438" s="10"/>
      <c r="M438" s="10"/>
      <c r="P438" s="17"/>
    </row>
    <row r="439" spans="1:16" s="11" customFormat="1" ht="15" customHeight="1">
      <c r="A439" s="290">
        <v>1</v>
      </c>
      <c r="B439" s="291"/>
      <c r="C439" s="62">
        <v>2</v>
      </c>
      <c r="D439" s="63">
        <v>3</v>
      </c>
      <c r="E439" s="63">
        <v>4</v>
      </c>
      <c r="F439" s="63">
        <v>5</v>
      </c>
      <c r="G439" s="63" t="s">
        <v>51</v>
      </c>
      <c r="H439" s="63" t="s">
        <v>52</v>
      </c>
      <c r="I439" s="10"/>
      <c r="J439" s="10"/>
      <c r="K439" s="10"/>
      <c r="L439" s="10"/>
      <c r="M439" s="10"/>
      <c r="P439" s="17"/>
    </row>
    <row r="440" spans="1:16" s="11" customFormat="1" ht="15">
      <c r="A440" s="183">
        <v>31</v>
      </c>
      <c r="B440" s="143" t="s">
        <v>4</v>
      </c>
      <c r="C440" s="179">
        <f>SUM(C441,C443,C445)</f>
        <v>0</v>
      </c>
      <c r="D440" s="179">
        <f>SUM(D441,D443,D445)</f>
        <v>0</v>
      </c>
      <c r="E440" s="179">
        <f>SUM(E441,E443,E445)</f>
        <v>145280</v>
      </c>
      <c r="F440" s="179">
        <f>SUM(F441,F443,F445)</f>
        <v>132330</v>
      </c>
      <c r="G440" s="163" t="e">
        <f>F440/C440*100</f>
        <v>#DIV/0!</v>
      </c>
      <c r="H440" s="164">
        <f aca="true" t="shared" si="36" ref="H440:H450">F440/E440*100</f>
        <v>91.08617841409692</v>
      </c>
      <c r="I440" s="10"/>
      <c r="J440" s="10"/>
      <c r="K440" s="10"/>
      <c r="L440" s="10"/>
      <c r="M440" s="10"/>
      <c r="P440" s="17"/>
    </row>
    <row r="441" spans="1:8" ht="15">
      <c r="A441" s="170">
        <v>311</v>
      </c>
      <c r="B441" s="131" t="s">
        <v>115</v>
      </c>
      <c r="C441" s="181">
        <f>SUM(C442)</f>
        <v>0</v>
      </c>
      <c r="D441" s="181">
        <f>SUM(D442)</f>
        <v>0</v>
      </c>
      <c r="E441" s="181">
        <f>SUM(E442)</f>
        <v>114400</v>
      </c>
      <c r="F441" s="181">
        <f>SUM(F442)</f>
        <v>113588</v>
      </c>
      <c r="G441" s="172" t="e">
        <f>F441/C441*100</f>
        <v>#DIV/0!</v>
      </c>
      <c r="H441" s="173">
        <f t="shared" si="36"/>
        <v>99.29020979020979</v>
      </c>
    </row>
    <row r="442" spans="1:8" ht="15">
      <c r="A442" s="18">
        <v>3111</v>
      </c>
      <c r="B442" s="19" t="s">
        <v>54</v>
      </c>
      <c r="C442" s="70">
        <v>0</v>
      </c>
      <c r="D442" s="105">
        <v>0</v>
      </c>
      <c r="E442" s="105">
        <v>114400</v>
      </c>
      <c r="F442" s="105">
        <v>113588</v>
      </c>
      <c r="G442" s="161" t="e">
        <f>F442/C442*100</f>
        <v>#DIV/0!</v>
      </c>
      <c r="H442" s="162">
        <f t="shared" si="36"/>
        <v>99.29020979020979</v>
      </c>
    </row>
    <row r="443" spans="1:8" ht="15">
      <c r="A443" s="170">
        <v>312</v>
      </c>
      <c r="B443" s="131" t="s">
        <v>116</v>
      </c>
      <c r="C443" s="181">
        <f>SUM(C444)</f>
        <v>0</v>
      </c>
      <c r="D443" s="181">
        <f>SUM(D444)</f>
        <v>0</v>
      </c>
      <c r="E443" s="181">
        <f>SUM(E444)</f>
        <v>12000</v>
      </c>
      <c r="F443" s="181">
        <f>SUM(F444)</f>
        <v>0</v>
      </c>
      <c r="G443" s="172" t="e">
        <f aca="true" t="shared" si="37" ref="G443:G450">F443/C443*100</f>
        <v>#DIV/0!</v>
      </c>
      <c r="H443" s="173">
        <f t="shared" si="36"/>
        <v>0</v>
      </c>
    </row>
    <row r="444" spans="1:8" ht="15">
      <c r="A444" s="27">
        <v>3121</v>
      </c>
      <c r="B444" s="28" t="s">
        <v>116</v>
      </c>
      <c r="C444" s="74">
        <v>0</v>
      </c>
      <c r="D444" s="74">
        <v>0</v>
      </c>
      <c r="E444" s="74">
        <v>12000</v>
      </c>
      <c r="F444" s="29">
        <v>0</v>
      </c>
      <c r="G444" s="161" t="e">
        <f t="shared" si="37"/>
        <v>#DIV/0!</v>
      </c>
      <c r="H444" s="162">
        <f t="shared" si="36"/>
        <v>0</v>
      </c>
    </row>
    <row r="445" spans="1:8" ht="15">
      <c r="A445" s="170">
        <v>313</v>
      </c>
      <c r="B445" s="131" t="s">
        <v>7</v>
      </c>
      <c r="C445" s="181">
        <f>SUM(C446:C446)</f>
        <v>0</v>
      </c>
      <c r="D445" s="181">
        <f>SUM(D446:D446)</f>
        <v>0</v>
      </c>
      <c r="E445" s="181">
        <f>SUM(E446:E446)</f>
        <v>18880</v>
      </c>
      <c r="F445" s="181">
        <f>SUM(F446:F446)</f>
        <v>18742</v>
      </c>
      <c r="G445" s="172" t="e">
        <f t="shared" si="37"/>
        <v>#DIV/0!</v>
      </c>
      <c r="H445" s="173">
        <f t="shared" si="36"/>
        <v>99.26906779661017</v>
      </c>
    </row>
    <row r="446" spans="1:8" ht="15">
      <c r="A446" s="27">
        <v>3132</v>
      </c>
      <c r="B446" s="28" t="s">
        <v>55</v>
      </c>
      <c r="C446" s="74">
        <v>0</v>
      </c>
      <c r="D446" s="74">
        <v>0</v>
      </c>
      <c r="E446" s="74">
        <v>18880</v>
      </c>
      <c r="F446" s="29">
        <v>18742</v>
      </c>
      <c r="G446" s="161" t="e">
        <f t="shared" si="37"/>
        <v>#DIV/0!</v>
      </c>
      <c r="H446" s="162">
        <f t="shared" si="36"/>
        <v>99.26906779661017</v>
      </c>
    </row>
    <row r="447" spans="1:8" ht="15">
      <c r="A447" s="166">
        <v>32</v>
      </c>
      <c r="B447" s="145" t="s">
        <v>8</v>
      </c>
      <c r="C447" s="180">
        <f>SUM(C448,)</f>
        <v>0</v>
      </c>
      <c r="D447" s="180">
        <f>SUM(D448,)</f>
        <v>0</v>
      </c>
      <c r="E447" s="180">
        <f>SUM(E448,)</f>
        <v>12560</v>
      </c>
      <c r="F447" s="180">
        <f>SUM(F448,)</f>
        <v>8109</v>
      </c>
      <c r="G447" s="163" t="e">
        <f t="shared" si="37"/>
        <v>#DIV/0!</v>
      </c>
      <c r="H447" s="164">
        <f t="shared" si="36"/>
        <v>64.56210191082803</v>
      </c>
    </row>
    <row r="448" spans="1:8" ht="15">
      <c r="A448" s="170">
        <v>321</v>
      </c>
      <c r="B448" s="131" t="s">
        <v>9</v>
      </c>
      <c r="C448" s="181">
        <f>SUM(C449:C450)</f>
        <v>0</v>
      </c>
      <c r="D448" s="181">
        <f>SUM(D449:D450)</f>
        <v>0</v>
      </c>
      <c r="E448" s="181">
        <f>SUM(E449:E450)</f>
        <v>12560</v>
      </c>
      <c r="F448" s="181">
        <f>SUM(F449:F450)</f>
        <v>8109</v>
      </c>
      <c r="G448" s="172" t="e">
        <f t="shared" si="37"/>
        <v>#DIV/0!</v>
      </c>
      <c r="H448" s="173">
        <f t="shared" si="36"/>
        <v>64.56210191082803</v>
      </c>
    </row>
    <row r="449" spans="1:8" ht="15">
      <c r="A449" s="18">
        <v>3211</v>
      </c>
      <c r="B449" s="19" t="s">
        <v>58</v>
      </c>
      <c r="C449" s="70">
        <v>0</v>
      </c>
      <c r="D449" s="20">
        <v>0</v>
      </c>
      <c r="E449" s="20">
        <v>400</v>
      </c>
      <c r="F449" s="20">
        <v>0</v>
      </c>
      <c r="G449" s="161" t="e">
        <f t="shared" si="37"/>
        <v>#DIV/0!</v>
      </c>
      <c r="H449" s="173">
        <f t="shared" si="36"/>
        <v>0</v>
      </c>
    </row>
    <row r="450" spans="1:8" ht="30.75" customHeight="1">
      <c r="A450" s="18">
        <v>3212</v>
      </c>
      <c r="B450" s="19" t="s">
        <v>10</v>
      </c>
      <c r="C450" s="70">
        <v>0</v>
      </c>
      <c r="D450" s="20">
        <v>0</v>
      </c>
      <c r="E450" s="20">
        <v>12160</v>
      </c>
      <c r="F450" s="20">
        <v>8109</v>
      </c>
      <c r="G450" s="161" t="e">
        <f t="shared" si="37"/>
        <v>#DIV/0!</v>
      </c>
      <c r="H450" s="162">
        <f t="shared" si="36"/>
        <v>66.68585526315789</v>
      </c>
    </row>
    <row r="451" spans="1:8" ht="15">
      <c r="A451" s="295" t="s">
        <v>3</v>
      </c>
      <c r="B451" s="296"/>
      <c r="C451" s="182">
        <f>SUM(C440,C447,)</f>
        <v>0</v>
      </c>
      <c r="D451" s="182">
        <f>SUM(D440,D447,)</f>
        <v>0</v>
      </c>
      <c r="E451" s="182">
        <f>SUM(E440,E447,)</f>
        <v>157840</v>
      </c>
      <c r="F451" s="182">
        <f>SUM(F440,F447,)</f>
        <v>140439</v>
      </c>
      <c r="G451" s="163" t="e">
        <f>F451/C451*100</f>
        <v>#DIV/0!</v>
      </c>
      <c r="H451" s="164">
        <f>F451/E451*100</f>
        <v>88.97554485554993</v>
      </c>
    </row>
    <row r="452" spans="1:8" ht="15">
      <c r="A452" s="11"/>
      <c r="B452" s="9"/>
      <c r="C452" s="9"/>
      <c r="D452" s="10"/>
      <c r="E452" s="10"/>
      <c r="F452" s="10"/>
      <c r="G452" s="10"/>
      <c r="H452" s="10"/>
    </row>
    <row r="453" spans="1:8" ht="15">
      <c r="A453" s="11"/>
      <c r="B453" s="9"/>
      <c r="C453" s="9"/>
      <c r="D453" s="10"/>
      <c r="E453" s="10"/>
      <c r="F453" s="10"/>
      <c r="G453" s="10"/>
      <c r="H453" s="10"/>
    </row>
    <row r="454" spans="1:8" ht="18.75">
      <c r="A454" s="38" t="s">
        <v>186</v>
      </c>
      <c r="B454" s="9"/>
      <c r="C454" s="229">
        <f>C455+C468+C481</f>
        <v>32467</v>
      </c>
      <c r="D454" s="229">
        <f>D455</f>
        <v>6300</v>
      </c>
      <c r="E454" s="229">
        <f>E455</f>
        <v>6300</v>
      </c>
      <c r="F454" s="229">
        <f>F455</f>
        <v>6300</v>
      </c>
      <c r="G454" s="229">
        <f>G455</f>
        <v>95.45454545454545</v>
      </c>
      <c r="H454" s="229">
        <f>H455</f>
        <v>100</v>
      </c>
    </row>
    <row r="455" spans="1:8" ht="18.75" customHeight="1">
      <c r="A455" s="303" t="s">
        <v>187</v>
      </c>
      <c r="B455" s="304"/>
      <c r="C455" s="211">
        <f aca="true" t="shared" si="38" ref="C455:H455">C464</f>
        <v>6600</v>
      </c>
      <c r="D455" s="211">
        <f t="shared" si="38"/>
        <v>6300</v>
      </c>
      <c r="E455" s="211">
        <f t="shared" si="38"/>
        <v>6300</v>
      </c>
      <c r="F455" s="211">
        <f t="shared" si="38"/>
        <v>6300</v>
      </c>
      <c r="G455" s="211">
        <f t="shared" si="38"/>
        <v>95.45454545454545</v>
      </c>
      <c r="H455" s="211">
        <f t="shared" si="38"/>
        <v>100</v>
      </c>
    </row>
    <row r="456" spans="1:8" ht="15">
      <c r="A456" s="11" t="s">
        <v>163</v>
      </c>
      <c r="B456" s="9"/>
      <c r="C456" s="9"/>
      <c r="D456" s="10"/>
      <c r="E456" s="10"/>
      <c r="F456" s="10"/>
      <c r="G456" s="10"/>
      <c r="H456" s="10"/>
    </row>
    <row r="457" spans="1:8" ht="15">
      <c r="A457" s="259" t="s">
        <v>53</v>
      </c>
      <c r="B457" s="261" t="s">
        <v>0</v>
      </c>
      <c r="C457" s="261" t="s">
        <v>117</v>
      </c>
      <c r="D457" s="263" t="s">
        <v>134</v>
      </c>
      <c r="E457" s="263" t="s">
        <v>137</v>
      </c>
      <c r="F457" s="263" t="s">
        <v>136</v>
      </c>
      <c r="G457" s="263" t="s">
        <v>50</v>
      </c>
      <c r="H457" s="263" t="s">
        <v>50</v>
      </c>
    </row>
    <row r="458" spans="1:8" ht="15">
      <c r="A458" s="260"/>
      <c r="B458" s="262"/>
      <c r="C458" s="262"/>
      <c r="D458" s="264"/>
      <c r="E458" s="264"/>
      <c r="F458" s="264"/>
      <c r="G458" s="264"/>
      <c r="H458" s="264"/>
    </row>
    <row r="459" spans="1:8" ht="15">
      <c r="A459" s="290">
        <v>1</v>
      </c>
      <c r="B459" s="291"/>
      <c r="C459" s="62">
        <v>2</v>
      </c>
      <c r="D459" s="63">
        <v>3</v>
      </c>
      <c r="E459" s="63">
        <v>4</v>
      </c>
      <c r="F459" s="63">
        <v>5</v>
      </c>
      <c r="G459" s="63" t="s">
        <v>51</v>
      </c>
      <c r="H459" s="63" t="s">
        <v>52</v>
      </c>
    </row>
    <row r="460" spans="1:8" ht="15">
      <c r="A460" s="168">
        <v>4</v>
      </c>
      <c r="B460" s="169" t="s">
        <v>114</v>
      </c>
      <c r="C460" s="187">
        <f aca="true" t="shared" si="39" ref="C460:F462">SUM(C461)</f>
        <v>6600</v>
      </c>
      <c r="D460" s="187">
        <f t="shared" si="39"/>
        <v>6300</v>
      </c>
      <c r="E460" s="187">
        <f t="shared" si="39"/>
        <v>6300</v>
      </c>
      <c r="F460" s="187">
        <f t="shared" si="39"/>
        <v>6300</v>
      </c>
      <c r="G460" s="163">
        <v>0</v>
      </c>
      <c r="H460" s="164">
        <v>0</v>
      </c>
    </row>
    <row r="461" spans="1:8" ht="15">
      <c r="A461" s="185">
        <v>42</v>
      </c>
      <c r="B461" s="186" t="s">
        <v>112</v>
      </c>
      <c r="C461" s="187">
        <f t="shared" si="39"/>
        <v>6600</v>
      </c>
      <c r="D461" s="187">
        <f t="shared" si="39"/>
        <v>6300</v>
      </c>
      <c r="E461" s="187">
        <f t="shared" si="39"/>
        <v>6300</v>
      </c>
      <c r="F461" s="187">
        <f t="shared" si="39"/>
        <v>6300</v>
      </c>
      <c r="G461" s="163">
        <v>0</v>
      </c>
      <c r="H461" s="164">
        <v>0</v>
      </c>
    </row>
    <row r="462" spans="1:8" ht="15">
      <c r="A462" s="158">
        <v>424</v>
      </c>
      <c r="B462" s="159" t="s">
        <v>113</v>
      </c>
      <c r="C462" s="160">
        <f t="shared" si="39"/>
        <v>6600</v>
      </c>
      <c r="D462" s="160">
        <f t="shared" si="39"/>
        <v>6300</v>
      </c>
      <c r="E462" s="160">
        <f t="shared" si="39"/>
        <v>6300</v>
      </c>
      <c r="F462" s="160">
        <f t="shared" si="39"/>
        <v>6300</v>
      </c>
      <c r="G462" s="172">
        <v>0</v>
      </c>
      <c r="H462" s="173">
        <v>0</v>
      </c>
    </row>
    <row r="463" spans="1:8" ht="15">
      <c r="A463" s="121">
        <v>4241</v>
      </c>
      <c r="B463" s="61" t="s">
        <v>104</v>
      </c>
      <c r="C463" s="120">
        <v>6600</v>
      </c>
      <c r="D463" s="21">
        <v>6300</v>
      </c>
      <c r="E463" s="21">
        <v>6300</v>
      </c>
      <c r="F463" s="21">
        <v>6300</v>
      </c>
      <c r="G463" s="161">
        <v>0</v>
      </c>
      <c r="H463" s="162">
        <f>F463/E463*100</f>
        <v>100</v>
      </c>
    </row>
    <row r="464" spans="1:8" ht="15">
      <c r="A464" s="295" t="s">
        <v>3</v>
      </c>
      <c r="B464" s="296"/>
      <c r="C464" s="178">
        <f>C460</f>
        <v>6600</v>
      </c>
      <c r="D464" s="178">
        <f>D460</f>
        <v>6300</v>
      </c>
      <c r="E464" s="178">
        <f>E460</f>
        <v>6300</v>
      </c>
      <c r="F464" s="178">
        <f>F460</f>
        <v>6300</v>
      </c>
      <c r="G464" s="163">
        <f>F464/C464*100</f>
        <v>95.45454545454545</v>
      </c>
      <c r="H464" s="164">
        <f>F464/E464*100</f>
        <v>100</v>
      </c>
    </row>
    <row r="465" spans="1:8" ht="15">
      <c r="A465" s="242"/>
      <c r="B465" s="242"/>
      <c r="C465" s="243"/>
      <c r="D465" s="243"/>
      <c r="E465" s="243"/>
      <c r="F465" s="243"/>
      <c r="G465" s="244"/>
      <c r="H465" s="244"/>
    </row>
    <row r="466" spans="1:8" ht="15">
      <c r="A466" s="242"/>
      <c r="B466" s="242"/>
      <c r="C466" s="243"/>
      <c r="D466" s="243"/>
      <c r="E466" s="243"/>
      <c r="F466" s="243"/>
      <c r="G466" s="244"/>
      <c r="H466" s="244"/>
    </row>
    <row r="467" spans="1:8" ht="15">
      <c r="A467" s="9"/>
      <c r="B467" s="9"/>
      <c r="C467" s="9"/>
      <c r="D467" s="10"/>
      <c r="E467" s="10"/>
      <c r="F467" s="10"/>
      <c r="G467" s="10"/>
      <c r="H467" s="10"/>
    </row>
    <row r="468" spans="1:8" ht="18.75">
      <c r="A468" s="303" t="s">
        <v>236</v>
      </c>
      <c r="B468" s="304"/>
      <c r="C468" s="240">
        <f aca="true" t="shared" si="40" ref="C468:H468">C477</f>
        <v>11655</v>
      </c>
      <c r="D468" s="240">
        <f t="shared" si="40"/>
        <v>0</v>
      </c>
      <c r="E468" s="240">
        <f t="shared" si="40"/>
        <v>0</v>
      </c>
      <c r="F468" s="240">
        <f t="shared" si="40"/>
        <v>0</v>
      </c>
      <c r="G468" s="240">
        <f t="shared" si="40"/>
        <v>0</v>
      </c>
      <c r="H468" s="240" t="e">
        <f t="shared" si="40"/>
        <v>#DIV/0!</v>
      </c>
    </row>
    <row r="469" spans="1:8" ht="15">
      <c r="A469" s="11" t="s">
        <v>163</v>
      </c>
      <c r="B469" s="9"/>
      <c r="C469" s="9"/>
      <c r="D469" s="10"/>
      <c r="E469" s="10"/>
      <c r="F469" s="10"/>
      <c r="G469" s="10"/>
      <c r="H469" s="10"/>
    </row>
    <row r="470" spans="1:8" ht="15" customHeight="1">
      <c r="A470" s="259" t="s">
        <v>53</v>
      </c>
      <c r="B470" s="261" t="s">
        <v>0</v>
      </c>
      <c r="C470" s="261" t="s">
        <v>117</v>
      </c>
      <c r="D470" s="263" t="s">
        <v>134</v>
      </c>
      <c r="E470" s="263" t="s">
        <v>137</v>
      </c>
      <c r="F470" s="263" t="s">
        <v>136</v>
      </c>
      <c r="G470" s="263" t="s">
        <v>50</v>
      </c>
      <c r="H470" s="263" t="s">
        <v>50</v>
      </c>
    </row>
    <row r="471" spans="1:8" ht="18.75" customHeight="1">
      <c r="A471" s="260"/>
      <c r="B471" s="262"/>
      <c r="C471" s="262"/>
      <c r="D471" s="264"/>
      <c r="E471" s="264"/>
      <c r="F471" s="264"/>
      <c r="G471" s="264"/>
      <c r="H471" s="264"/>
    </row>
    <row r="472" spans="1:8" ht="15">
      <c r="A472" s="290">
        <v>1</v>
      </c>
      <c r="B472" s="291"/>
      <c r="C472" s="62">
        <v>2</v>
      </c>
      <c r="D472" s="63">
        <v>3</v>
      </c>
      <c r="E472" s="63">
        <v>4</v>
      </c>
      <c r="F472" s="63">
        <v>5</v>
      </c>
      <c r="G472" s="63" t="s">
        <v>51</v>
      </c>
      <c r="H472" s="63" t="s">
        <v>52</v>
      </c>
    </row>
    <row r="473" spans="1:8" ht="15">
      <c r="A473" s="168">
        <v>4</v>
      </c>
      <c r="B473" s="169" t="s">
        <v>114</v>
      </c>
      <c r="C473" s="187">
        <f aca="true" t="shared" si="41" ref="C473:F474">SUM(C474)</f>
        <v>11655</v>
      </c>
      <c r="D473" s="187">
        <f t="shared" si="41"/>
        <v>0</v>
      </c>
      <c r="E473" s="187">
        <f t="shared" si="41"/>
        <v>0</v>
      </c>
      <c r="F473" s="187">
        <f t="shared" si="41"/>
        <v>0</v>
      </c>
      <c r="G473" s="163">
        <v>0</v>
      </c>
      <c r="H473" s="164">
        <v>0</v>
      </c>
    </row>
    <row r="474" spans="1:16" s="11" customFormat="1" ht="15">
      <c r="A474" s="185">
        <v>42</v>
      </c>
      <c r="B474" s="186" t="s">
        <v>112</v>
      </c>
      <c r="C474" s="187">
        <f>SUM(C475)</f>
        <v>11655</v>
      </c>
      <c r="D474" s="187">
        <f t="shared" si="41"/>
        <v>0</v>
      </c>
      <c r="E474" s="187">
        <f t="shared" si="41"/>
        <v>0</v>
      </c>
      <c r="F474" s="187">
        <f t="shared" si="41"/>
        <v>0</v>
      </c>
      <c r="G474" s="163">
        <v>0</v>
      </c>
      <c r="H474" s="162" t="e">
        <f>F474/E474*100</f>
        <v>#DIV/0!</v>
      </c>
      <c r="I474" s="10"/>
      <c r="J474" s="10"/>
      <c r="K474" s="10"/>
      <c r="L474" s="10"/>
      <c r="M474" s="10"/>
      <c r="P474" s="17"/>
    </row>
    <row r="475" spans="1:13" s="35" customFormat="1" ht="15">
      <c r="A475" s="158">
        <v>422</v>
      </c>
      <c r="B475" s="159" t="s">
        <v>18</v>
      </c>
      <c r="C475" s="160">
        <f>SUM(C476:C476)</f>
        <v>11655</v>
      </c>
      <c r="D475" s="160">
        <f>SUM(D476:D476)</f>
        <v>0</v>
      </c>
      <c r="E475" s="160">
        <f>SUM(E476:E476)</f>
        <v>0</v>
      </c>
      <c r="F475" s="160">
        <f>SUM(F476:F476)</f>
        <v>0</v>
      </c>
      <c r="G475" s="172">
        <v>0</v>
      </c>
      <c r="H475" s="162" t="e">
        <f>F475/E475*100</f>
        <v>#DIV/0!</v>
      </c>
      <c r="I475" s="21"/>
      <c r="J475" s="21"/>
      <c r="K475" s="21"/>
      <c r="L475" s="21"/>
      <c r="M475" s="21"/>
    </row>
    <row r="476" spans="1:13" s="73" customFormat="1" ht="15" customHeight="1">
      <c r="A476" s="121">
        <v>4221</v>
      </c>
      <c r="B476" s="61" t="s">
        <v>84</v>
      </c>
      <c r="C476" s="120">
        <v>11655</v>
      </c>
      <c r="D476" s="21">
        <v>0</v>
      </c>
      <c r="E476" s="21">
        <v>0</v>
      </c>
      <c r="F476" s="21">
        <v>0</v>
      </c>
      <c r="G476" s="161">
        <v>0</v>
      </c>
      <c r="H476" s="162" t="e">
        <f>F476/E476*100</f>
        <v>#DIV/0!</v>
      </c>
      <c r="I476" s="21"/>
      <c r="J476" s="21"/>
      <c r="K476" s="21"/>
      <c r="L476" s="21"/>
      <c r="M476" s="21"/>
    </row>
    <row r="477" spans="1:8" ht="15">
      <c r="A477" s="295" t="s">
        <v>3</v>
      </c>
      <c r="B477" s="296"/>
      <c r="C477" s="178">
        <f>C473</f>
        <v>11655</v>
      </c>
      <c r="D477" s="178">
        <f>D473</f>
        <v>0</v>
      </c>
      <c r="E477" s="178">
        <f>E473</f>
        <v>0</v>
      </c>
      <c r="F477" s="178">
        <f>F473</f>
        <v>0</v>
      </c>
      <c r="G477" s="163">
        <f>F477/C477*100</f>
        <v>0</v>
      </c>
      <c r="H477" s="164" t="e">
        <f>F477/E477*100</f>
        <v>#DIV/0!</v>
      </c>
    </row>
    <row r="478" spans="1:8" ht="15">
      <c r="A478" s="9"/>
      <c r="B478" s="9"/>
      <c r="C478" s="9"/>
      <c r="D478" s="10"/>
      <c r="E478" s="10"/>
      <c r="F478" s="10"/>
      <c r="G478" s="10"/>
      <c r="H478" s="10"/>
    </row>
    <row r="479" spans="1:8" ht="15">
      <c r="A479" s="9"/>
      <c r="B479" s="9"/>
      <c r="C479" s="9"/>
      <c r="D479" s="10"/>
      <c r="E479" s="10"/>
      <c r="F479" s="10"/>
      <c r="G479" s="10"/>
      <c r="H479" s="10"/>
    </row>
    <row r="480" spans="1:8" ht="15">
      <c r="A480" s="9"/>
      <c r="B480" s="9"/>
      <c r="C480" s="9"/>
      <c r="D480" s="10"/>
      <c r="E480" s="10"/>
      <c r="F480" s="10"/>
      <c r="G480" s="10"/>
      <c r="H480" s="10"/>
    </row>
    <row r="481" spans="1:8" ht="18.75">
      <c r="A481" s="303" t="s">
        <v>237</v>
      </c>
      <c r="B481" s="304"/>
      <c r="C481" s="240">
        <f aca="true" t="shared" si="42" ref="C481:H481">C490</f>
        <v>14212</v>
      </c>
      <c r="D481" s="240">
        <f t="shared" si="42"/>
        <v>0</v>
      </c>
      <c r="E481" s="240">
        <f t="shared" si="42"/>
        <v>0</v>
      </c>
      <c r="F481" s="240">
        <f t="shared" si="42"/>
        <v>0</v>
      </c>
      <c r="G481" s="240">
        <f t="shared" si="42"/>
        <v>0</v>
      </c>
      <c r="H481" s="240" t="e">
        <f t="shared" si="42"/>
        <v>#DIV/0!</v>
      </c>
    </row>
    <row r="482" spans="1:8" ht="15">
      <c r="A482" s="11" t="s">
        <v>163</v>
      </c>
      <c r="B482" s="9"/>
      <c r="C482" s="9"/>
      <c r="D482" s="10"/>
      <c r="E482" s="10"/>
      <c r="F482" s="10"/>
      <c r="G482" s="10"/>
      <c r="H482" s="10"/>
    </row>
    <row r="483" spans="1:8" ht="15">
      <c r="A483" s="259" t="s">
        <v>53</v>
      </c>
      <c r="B483" s="261" t="s">
        <v>0</v>
      </c>
      <c r="C483" s="261" t="s">
        <v>117</v>
      </c>
      <c r="D483" s="263" t="s">
        <v>134</v>
      </c>
      <c r="E483" s="263" t="s">
        <v>137</v>
      </c>
      <c r="F483" s="263" t="s">
        <v>136</v>
      </c>
      <c r="G483" s="263" t="s">
        <v>50</v>
      </c>
      <c r="H483" s="263" t="s">
        <v>50</v>
      </c>
    </row>
    <row r="484" spans="1:8" ht="15">
      <c r="A484" s="260"/>
      <c r="B484" s="262"/>
      <c r="C484" s="262"/>
      <c r="D484" s="264"/>
      <c r="E484" s="264"/>
      <c r="F484" s="264"/>
      <c r="G484" s="264"/>
      <c r="H484" s="264"/>
    </row>
    <row r="485" spans="1:8" ht="15">
      <c r="A485" s="290">
        <v>1</v>
      </c>
      <c r="B485" s="291"/>
      <c r="C485" s="62">
        <v>2</v>
      </c>
      <c r="D485" s="63">
        <v>3</v>
      </c>
      <c r="E485" s="63">
        <v>4</v>
      </c>
      <c r="F485" s="63">
        <v>5</v>
      </c>
      <c r="G485" s="63" t="s">
        <v>51</v>
      </c>
      <c r="H485" s="63" t="s">
        <v>52</v>
      </c>
    </row>
    <row r="486" spans="1:8" ht="15">
      <c r="A486" s="168">
        <v>4</v>
      </c>
      <c r="B486" s="169" t="s">
        <v>114</v>
      </c>
      <c r="C486" s="187">
        <f aca="true" t="shared" si="43" ref="C486:F488">SUM(C487)</f>
        <v>14212</v>
      </c>
      <c r="D486" s="187">
        <f t="shared" si="43"/>
        <v>0</v>
      </c>
      <c r="E486" s="187">
        <f t="shared" si="43"/>
        <v>0</v>
      </c>
      <c r="F486" s="187">
        <f t="shared" si="43"/>
        <v>0</v>
      </c>
      <c r="G486" s="163">
        <v>0</v>
      </c>
      <c r="H486" s="164">
        <v>0</v>
      </c>
    </row>
    <row r="487" spans="1:8" ht="15">
      <c r="A487" s="185">
        <v>42</v>
      </c>
      <c r="B487" s="186" t="s">
        <v>112</v>
      </c>
      <c r="C487" s="187">
        <f t="shared" si="43"/>
        <v>14212</v>
      </c>
      <c r="D487" s="187">
        <f t="shared" si="43"/>
        <v>0</v>
      </c>
      <c r="E487" s="187">
        <f t="shared" si="43"/>
        <v>0</v>
      </c>
      <c r="F487" s="187">
        <f t="shared" si="43"/>
        <v>0</v>
      </c>
      <c r="G487" s="163">
        <v>0</v>
      </c>
      <c r="H487" s="164">
        <v>0</v>
      </c>
    </row>
    <row r="488" spans="1:8" ht="15">
      <c r="A488" s="158">
        <v>424</v>
      </c>
      <c r="B488" s="159" t="s">
        <v>113</v>
      </c>
      <c r="C488" s="160">
        <f t="shared" si="43"/>
        <v>14212</v>
      </c>
      <c r="D488" s="160">
        <f t="shared" si="43"/>
        <v>0</v>
      </c>
      <c r="E488" s="160">
        <f t="shared" si="43"/>
        <v>0</v>
      </c>
      <c r="F488" s="160">
        <f t="shared" si="43"/>
        <v>0</v>
      </c>
      <c r="G488" s="172">
        <v>0</v>
      </c>
      <c r="H488" s="173">
        <v>0</v>
      </c>
    </row>
    <row r="489" spans="1:8" ht="15">
      <c r="A489" s="121">
        <v>4241</v>
      </c>
      <c r="B489" s="61" t="s">
        <v>104</v>
      </c>
      <c r="C489" s="120">
        <v>14212</v>
      </c>
      <c r="D489" s="21"/>
      <c r="E489" s="21"/>
      <c r="F489" s="21"/>
      <c r="G489" s="161">
        <v>0</v>
      </c>
      <c r="H489" s="162" t="e">
        <f>F489/E489*100</f>
        <v>#DIV/0!</v>
      </c>
    </row>
    <row r="490" spans="1:8" ht="15">
      <c r="A490" s="295" t="s">
        <v>3</v>
      </c>
      <c r="B490" s="296"/>
      <c r="C490" s="178">
        <f>C486</f>
        <v>14212</v>
      </c>
      <c r="D490" s="178">
        <f>D486</f>
        <v>0</v>
      </c>
      <c r="E490" s="178">
        <f>E486</f>
        <v>0</v>
      </c>
      <c r="F490" s="178">
        <f>F486</f>
        <v>0</v>
      </c>
      <c r="G490" s="163">
        <f>F490/C490*100</f>
        <v>0</v>
      </c>
      <c r="H490" s="164" t="e">
        <f>F490/E490*100</f>
        <v>#DIV/0!</v>
      </c>
    </row>
    <row r="491" spans="1:8" ht="15">
      <c r="A491" s="9"/>
      <c r="B491" s="9"/>
      <c r="C491" s="9"/>
      <c r="D491" s="10"/>
      <c r="E491" s="10"/>
      <c r="F491" s="10"/>
      <c r="G491" s="10"/>
      <c r="H491" s="10"/>
    </row>
    <row r="492" spans="1:8" ht="15">
      <c r="A492" s="9"/>
      <c r="B492" s="9"/>
      <c r="C492" s="9"/>
      <c r="D492" s="10"/>
      <c r="E492" s="10"/>
      <c r="F492" s="10"/>
      <c r="G492" s="10"/>
      <c r="H492" s="10"/>
    </row>
    <row r="493" spans="1:8" ht="18.75">
      <c r="A493" s="38" t="s">
        <v>188</v>
      </c>
      <c r="B493" s="9"/>
      <c r="C493" s="229">
        <f aca="true" t="shared" si="44" ref="C493:H493">C494</f>
        <v>6208530</v>
      </c>
      <c r="D493" s="229">
        <f t="shared" si="44"/>
        <v>6250000</v>
      </c>
      <c r="E493" s="229">
        <f t="shared" si="44"/>
        <v>6335200</v>
      </c>
      <c r="F493" s="229">
        <f t="shared" si="44"/>
        <v>6698897</v>
      </c>
      <c r="G493" s="229">
        <f t="shared" si="44"/>
        <v>107.89827865855524</v>
      </c>
      <c r="H493" s="229">
        <f t="shared" si="44"/>
        <v>105.74089215810076</v>
      </c>
    </row>
    <row r="494" spans="1:8" ht="18.75">
      <c r="A494" s="303" t="s">
        <v>189</v>
      </c>
      <c r="B494" s="304"/>
      <c r="C494" s="211">
        <f aca="true" t="shared" si="45" ref="C494:H494">C519</f>
        <v>6208530</v>
      </c>
      <c r="D494" s="211">
        <f t="shared" si="45"/>
        <v>6250000</v>
      </c>
      <c r="E494" s="211">
        <f t="shared" si="45"/>
        <v>6335200</v>
      </c>
      <c r="F494" s="211">
        <f t="shared" si="45"/>
        <v>6698897</v>
      </c>
      <c r="G494" s="211">
        <f t="shared" si="45"/>
        <v>107.89827865855524</v>
      </c>
      <c r="H494" s="211">
        <f t="shared" si="45"/>
        <v>105.74089215810076</v>
      </c>
    </row>
    <row r="495" spans="1:8" ht="15">
      <c r="A495" s="11" t="s">
        <v>174</v>
      </c>
      <c r="B495" s="9"/>
      <c r="C495" s="9"/>
      <c r="D495" s="10"/>
      <c r="E495" s="10"/>
      <c r="F495" s="10"/>
      <c r="G495" s="10"/>
      <c r="H495" s="10"/>
    </row>
    <row r="496" spans="1:8" ht="15">
      <c r="A496" s="259" t="s">
        <v>53</v>
      </c>
      <c r="B496" s="261" t="s">
        <v>0</v>
      </c>
      <c r="C496" s="261" t="s">
        <v>117</v>
      </c>
      <c r="D496" s="263" t="s">
        <v>134</v>
      </c>
      <c r="E496" s="263" t="s">
        <v>137</v>
      </c>
      <c r="F496" s="263" t="s">
        <v>136</v>
      </c>
      <c r="G496" s="263" t="s">
        <v>50</v>
      </c>
      <c r="H496" s="263" t="s">
        <v>50</v>
      </c>
    </row>
    <row r="497" spans="1:8" ht="15">
      <c r="A497" s="260"/>
      <c r="B497" s="262"/>
      <c r="C497" s="262"/>
      <c r="D497" s="264"/>
      <c r="E497" s="264"/>
      <c r="F497" s="264"/>
      <c r="G497" s="264"/>
      <c r="H497" s="264"/>
    </row>
    <row r="498" spans="1:8" ht="15">
      <c r="A498" s="290">
        <v>1</v>
      </c>
      <c r="B498" s="291"/>
      <c r="C498" s="62">
        <v>2</v>
      </c>
      <c r="D498" s="63">
        <v>3</v>
      </c>
      <c r="E498" s="63">
        <v>4</v>
      </c>
      <c r="F498" s="63">
        <v>5</v>
      </c>
      <c r="G498" s="63" t="s">
        <v>51</v>
      </c>
      <c r="H498" s="63" t="s">
        <v>52</v>
      </c>
    </row>
    <row r="499" spans="1:8" ht="15">
      <c r="A499" s="183">
        <v>31</v>
      </c>
      <c r="B499" s="143" t="s">
        <v>4</v>
      </c>
      <c r="C499" s="179">
        <f>SUM(C500,C502,C504)</f>
        <v>6048911</v>
      </c>
      <c r="D499" s="179">
        <f>SUM(D500,D502,D504)</f>
        <v>6044000</v>
      </c>
      <c r="E499" s="179">
        <f>SUM(E500,E502,E504)</f>
        <v>6102600</v>
      </c>
      <c r="F499" s="179">
        <f>SUM(F500,F502,F504)</f>
        <v>6477969</v>
      </c>
      <c r="G499" s="163">
        <f>F499/C499*100</f>
        <v>107.09314453461127</v>
      </c>
      <c r="H499" s="164">
        <f aca="true" t="shared" si="46" ref="H499:H506">F499/E499*100</f>
        <v>106.15096843968144</v>
      </c>
    </row>
    <row r="500" spans="1:8" ht="15">
      <c r="A500" s="170">
        <v>311</v>
      </c>
      <c r="B500" s="131" t="s">
        <v>115</v>
      </c>
      <c r="C500" s="181">
        <f>SUM(C501)</f>
        <v>5013200</v>
      </c>
      <c r="D500" s="181">
        <f>SUM(D501)</f>
        <v>4980000</v>
      </c>
      <c r="E500" s="181">
        <f>SUM(E501)</f>
        <v>5030000</v>
      </c>
      <c r="F500" s="181">
        <f>SUM(F501)</f>
        <v>5372357</v>
      </c>
      <c r="G500" s="172">
        <f>F500/C500*100</f>
        <v>107.16422644219261</v>
      </c>
      <c r="H500" s="173">
        <f t="shared" si="46"/>
        <v>106.80630218687872</v>
      </c>
    </row>
    <row r="501" spans="1:8" ht="15">
      <c r="A501" s="18">
        <v>3111</v>
      </c>
      <c r="B501" s="19" t="s">
        <v>54</v>
      </c>
      <c r="C501" s="70">
        <v>5013200</v>
      </c>
      <c r="D501" s="105">
        <v>4980000</v>
      </c>
      <c r="E501" s="105">
        <f>4980000+50000</f>
        <v>5030000</v>
      </c>
      <c r="F501" s="105">
        <f>5314329+58028</f>
        <v>5372357</v>
      </c>
      <c r="G501" s="161">
        <f>F501/C501*100</f>
        <v>107.16422644219261</v>
      </c>
      <c r="H501" s="162">
        <f t="shared" si="46"/>
        <v>106.80630218687872</v>
      </c>
    </row>
    <row r="502" spans="1:8" ht="15">
      <c r="A502" s="170">
        <v>312</v>
      </c>
      <c r="B502" s="131" t="s">
        <v>116</v>
      </c>
      <c r="C502" s="181">
        <f>SUM(C503)</f>
        <v>208533</v>
      </c>
      <c r="D502" s="181">
        <f>SUM(D503)</f>
        <v>242000</v>
      </c>
      <c r="E502" s="181">
        <f>SUM(E503)</f>
        <v>242000</v>
      </c>
      <c r="F502" s="181">
        <f>SUM(F503)</f>
        <v>222826</v>
      </c>
      <c r="G502" s="172">
        <f aca="true" t="shared" si="47" ref="G502:G513">F502/C502*100</f>
        <v>106.85407105829772</v>
      </c>
      <c r="H502" s="173">
        <f t="shared" si="46"/>
        <v>92.07685950413223</v>
      </c>
    </row>
    <row r="503" spans="1:8" ht="15">
      <c r="A503" s="27">
        <v>3121</v>
      </c>
      <c r="B503" s="28" t="s">
        <v>116</v>
      </c>
      <c r="C503" s="74">
        <v>208533</v>
      </c>
      <c r="D503" s="74">
        <v>242000</v>
      </c>
      <c r="E503" s="74">
        <v>242000</v>
      </c>
      <c r="F503" s="29">
        <f>150826+72000</f>
        <v>222826</v>
      </c>
      <c r="G503" s="161">
        <f t="shared" si="47"/>
        <v>106.85407105829772</v>
      </c>
      <c r="H503" s="162">
        <f t="shared" si="46"/>
        <v>92.07685950413223</v>
      </c>
    </row>
    <row r="504" spans="1:8" ht="15">
      <c r="A504" s="170">
        <v>313</v>
      </c>
      <c r="B504" s="131" t="s">
        <v>7</v>
      </c>
      <c r="C504" s="181">
        <f>SUM(C505:C506)</f>
        <v>827178</v>
      </c>
      <c r="D504" s="181">
        <f>SUM(D505:D506)</f>
        <v>822000</v>
      </c>
      <c r="E504" s="181">
        <f>SUM(E505:E506)</f>
        <v>830600</v>
      </c>
      <c r="F504" s="181">
        <f>SUM(F505:F506)</f>
        <v>882786</v>
      </c>
      <c r="G504" s="172">
        <f t="shared" si="47"/>
        <v>106.72261593030763</v>
      </c>
      <c r="H504" s="173">
        <f t="shared" si="46"/>
        <v>106.28292800385265</v>
      </c>
    </row>
    <row r="505" spans="1:8" ht="15">
      <c r="A505" s="27">
        <v>3132</v>
      </c>
      <c r="B505" s="28" t="s">
        <v>55</v>
      </c>
      <c r="C505" s="74">
        <v>827178</v>
      </c>
      <c r="D505" s="74">
        <v>822000</v>
      </c>
      <c r="E505" s="74">
        <v>829750</v>
      </c>
      <c r="F505" s="29">
        <f>872805+8704+290</f>
        <v>881799</v>
      </c>
      <c r="G505" s="161">
        <f t="shared" si="47"/>
        <v>106.60329457504913</v>
      </c>
      <c r="H505" s="162">
        <f t="shared" si="46"/>
        <v>106.27285326905695</v>
      </c>
    </row>
    <row r="506" spans="1:8" ht="30">
      <c r="A506" s="27">
        <v>3133</v>
      </c>
      <c r="B506" s="28" t="s">
        <v>56</v>
      </c>
      <c r="C506" s="74">
        <v>0</v>
      </c>
      <c r="D506" s="74">
        <v>0</v>
      </c>
      <c r="E506" s="74">
        <v>850</v>
      </c>
      <c r="F506" s="29">
        <v>987</v>
      </c>
      <c r="G506" s="172" t="e">
        <f t="shared" si="47"/>
        <v>#DIV/0!</v>
      </c>
      <c r="H506" s="173">
        <f t="shared" si="46"/>
        <v>116.11764705882352</v>
      </c>
    </row>
    <row r="507" spans="1:8" ht="15">
      <c r="A507" s="166">
        <v>32</v>
      </c>
      <c r="B507" s="145" t="s">
        <v>8</v>
      </c>
      <c r="C507" s="180">
        <f>SUM(C508+C510+C513)</f>
        <v>159619</v>
      </c>
      <c r="D507" s="180">
        <f>SUM(D508+D510+D513)</f>
        <v>206000</v>
      </c>
      <c r="E507" s="180">
        <f>SUM(E508+E510+E513)</f>
        <v>218250</v>
      </c>
      <c r="F507" s="180">
        <f>SUM(F508+F510+F513)</f>
        <v>199776</v>
      </c>
      <c r="G507" s="161">
        <f t="shared" si="47"/>
        <v>125.15803256504552</v>
      </c>
      <c r="H507" s="164">
        <f>F507/E507*100</f>
        <v>91.53539518900344</v>
      </c>
    </row>
    <row r="508" spans="1:8" ht="15">
      <c r="A508" s="170">
        <v>321</v>
      </c>
      <c r="B508" s="131" t="s">
        <v>9</v>
      </c>
      <c r="C508" s="181">
        <f>SUM(C509:C509)</f>
        <v>125285</v>
      </c>
      <c r="D508" s="181">
        <f>SUM(D509:D509)</f>
        <v>175000</v>
      </c>
      <c r="E508" s="181">
        <f>SUM(E509:E509)</f>
        <v>175000</v>
      </c>
      <c r="F508" s="181">
        <f>SUM(F509:F509)</f>
        <v>140940</v>
      </c>
      <c r="G508" s="172">
        <f t="shared" si="47"/>
        <v>112.49551023666042</v>
      </c>
      <c r="H508" s="173">
        <f>F508/E508*100</f>
        <v>80.53714285714287</v>
      </c>
    </row>
    <row r="509" spans="1:8" ht="15">
      <c r="A509" s="18">
        <v>3212</v>
      </c>
      <c r="B509" s="19" t="s">
        <v>194</v>
      </c>
      <c r="C509" s="70">
        <v>125285</v>
      </c>
      <c r="D509" s="20">
        <v>175000</v>
      </c>
      <c r="E509" s="20">
        <v>175000</v>
      </c>
      <c r="F509" s="20">
        <v>140940</v>
      </c>
      <c r="G509" s="161">
        <f t="shared" si="47"/>
        <v>112.49551023666042</v>
      </c>
      <c r="H509" s="162"/>
    </row>
    <row r="510" spans="1:8" ht="15">
      <c r="A510" s="170">
        <v>323</v>
      </c>
      <c r="B510" s="131" t="s">
        <v>13</v>
      </c>
      <c r="C510" s="181">
        <f>SUM(C511:C511)</f>
        <v>5271</v>
      </c>
      <c r="D510" s="181">
        <f>SUM(D511:D511)</f>
        <v>4000</v>
      </c>
      <c r="E510" s="181">
        <f>SUM(E511:E511)</f>
        <v>4000</v>
      </c>
      <c r="F510" s="181">
        <f>SUM(F511:F512)</f>
        <v>8861</v>
      </c>
      <c r="G510" s="172">
        <f t="shared" si="47"/>
        <v>168.10851830772148</v>
      </c>
      <c r="H510" s="173">
        <f aca="true" t="shared" si="48" ref="H510:H515">F510/E510*100</f>
        <v>221.525</v>
      </c>
    </row>
    <row r="511" spans="1:8" ht="15">
      <c r="A511" s="18" t="s">
        <v>66</v>
      </c>
      <c r="B511" s="19" t="s">
        <v>67</v>
      </c>
      <c r="C511" s="104">
        <v>5271</v>
      </c>
      <c r="D511" s="20">
        <v>4000</v>
      </c>
      <c r="E511" s="20">
        <v>4000</v>
      </c>
      <c r="F511" s="20">
        <v>4661</v>
      </c>
      <c r="G511" s="161">
        <f t="shared" si="47"/>
        <v>88.42724340732309</v>
      </c>
      <c r="H511" s="162">
        <f t="shared" si="48"/>
        <v>116.52499999999999</v>
      </c>
    </row>
    <row r="512" spans="1:8" ht="15">
      <c r="A512" s="18">
        <v>3236</v>
      </c>
      <c r="B512" s="19" t="s">
        <v>195</v>
      </c>
      <c r="C512" s="104">
        <v>0</v>
      </c>
      <c r="D512" s="20">
        <v>0</v>
      </c>
      <c r="E512" s="20">
        <v>0</v>
      </c>
      <c r="F512" s="20">
        <v>4200</v>
      </c>
      <c r="G512" s="161" t="e">
        <f t="shared" si="47"/>
        <v>#DIV/0!</v>
      </c>
      <c r="H512" s="162">
        <v>0</v>
      </c>
    </row>
    <row r="513" spans="1:8" ht="15">
      <c r="A513" s="170">
        <v>329</v>
      </c>
      <c r="B513" s="131" t="s">
        <v>15</v>
      </c>
      <c r="C513" s="181">
        <f>SUM(C514:C515)</f>
        <v>29063</v>
      </c>
      <c r="D513" s="181">
        <f>SUM(D514:D515)</f>
        <v>27000</v>
      </c>
      <c r="E513" s="181">
        <f>SUM(E514:E515)</f>
        <v>39250</v>
      </c>
      <c r="F513" s="181">
        <f>SUM(F514:F515)</f>
        <v>49975</v>
      </c>
      <c r="G513" s="172">
        <f t="shared" si="47"/>
        <v>171.95403089839314</v>
      </c>
      <c r="H513" s="173">
        <f t="shared" si="48"/>
        <v>127.32484076433121</v>
      </c>
    </row>
    <row r="514" spans="1:8" ht="15">
      <c r="A514" s="18">
        <v>3295</v>
      </c>
      <c r="B514" s="19" t="s">
        <v>79</v>
      </c>
      <c r="C514" s="104">
        <v>29063</v>
      </c>
      <c r="D514" s="20">
        <v>27000</v>
      </c>
      <c r="E514" s="20">
        <v>27000</v>
      </c>
      <c r="F514" s="20">
        <v>13413</v>
      </c>
      <c r="G514" s="161">
        <f>F514/C514*100</f>
        <v>46.15146406083336</v>
      </c>
      <c r="H514" s="162">
        <f t="shared" si="48"/>
        <v>49.67777777777778</v>
      </c>
    </row>
    <row r="515" spans="1:8" ht="15">
      <c r="A515" s="18">
        <v>3296</v>
      </c>
      <c r="B515" s="19" t="s">
        <v>138</v>
      </c>
      <c r="C515" s="104"/>
      <c r="D515" s="20">
        <v>0</v>
      </c>
      <c r="E515" s="20">
        <v>12250</v>
      </c>
      <c r="F515" s="20">
        <v>36562</v>
      </c>
      <c r="G515" s="161" t="e">
        <f>F515/C515*100</f>
        <v>#DIV/0!</v>
      </c>
      <c r="H515" s="162">
        <f t="shared" si="48"/>
        <v>298.46530612244896</v>
      </c>
    </row>
    <row r="516" spans="1:8" ht="15">
      <c r="A516" s="166">
        <v>34</v>
      </c>
      <c r="B516" s="145" t="s">
        <v>16</v>
      </c>
      <c r="C516" s="180">
        <f aca="true" t="shared" si="49" ref="C516:F517">SUM(C517)</f>
        <v>0</v>
      </c>
      <c r="D516" s="180">
        <f t="shared" si="49"/>
        <v>0</v>
      </c>
      <c r="E516" s="180">
        <f t="shared" si="49"/>
        <v>14350</v>
      </c>
      <c r="F516" s="180">
        <f t="shared" si="49"/>
        <v>21152</v>
      </c>
      <c r="G516" s="163">
        <v>0</v>
      </c>
      <c r="H516" s="164">
        <v>0</v>
      </c>
    </row>
    <row r="517" spans="1:8" ht="15">
      <c r="A517" s="170">
        <v>343</v>
      </c>
      <c r="B517" s="131" t="s">
        <v>17</v>
      </c>
      <c r="C517" s="181">
        <f t="shared" si="49"/>
        <v>0</v>
      </c>
      <c r="D517" s="181">
        <f t="shared" si="49"/>
        <v>0</v>
      </c>
      <c r="E517" s="181">
        <f t="shared" si="49"/>
        <v>14350</v>
      </c>
      <c r="F517" s="181">
        <f t="shared" si="49"/>
        <v>21152</v>
      </c>
      <c r="G517" s="172">
        <v>0</v>
      </c>
      <c r="H517" s="173">
        <v>0</v>
      </c>
    </row>
    <row r="518" spans="1:8" ht="15">
      <c r="A518" s="55">
        <v>3433</v>
      </c>
      <c r="B518" s="52" t="s">
        <v>139</v>
      </c>
      <c r="C518" s="110"/>
      <c r="D518" s="53">
        <v>0</v>
      </c>
      <c r="E518" s="53">
        <v>14350</v>
      </c>
      <c r="F518" s="53">
        <f>419+7564+13169</f>
        <v>21152</v>
      </c>
      <c r="G518" s="161">
        <v>0</v>
      </c>
      <c r="H518" s="162">
        <v>0</v>
      </c>
    </row>
    <row r="519" spans="1:8" ht="15">
      <c r="A519" s="295" t="s">
        <v>3</v>
      </c>
      <c r="B519" s="296"/>
      <c r="C519" s="178">
        <f>C516+C507+C499</f>
        <v>6208530</v>
      </c>
      <c r="D519" s="178">
        <f>D516+D507+D499</f>
        <v>6250000</v>
      </c>
      <c r="E519" s="178">
        <f>E516+E507+E499</f>
        <v>6335200</v>
      </c>
      <c r="F519" s="178">
        <f>F516+F507+F499</f>
        <v>6698897</v>
      </c>
      <c r="G519" s="163">
        <f>F519/C519*100</f>
        <v>107.89827865855524</v>
      </c>
      <c r="H519" s="164">
        <f>F519/E519*100</f>
        <v>105.74089215810076</v>
      </c>
    </row>
    <row r="520" spans="1:8" ht="15">
      <c r="A520" s="9"/>
      <c r="B520" s="9"/>
      <c r="C520" s="9"/>
      <c r="D520" s="10"/>
      <c r="E520" s="10"/>
      <c r="F520" s="10"/>
      <c r="G520" s="10"/>
      <c r="H520" s="10"/>
    </row>
    <row r="521" spans="1:8" ht="15">
      <c r="A521" s="32"/>
      <c r="B521" s="32"/>
      <c r="C521" s="32"/>
      <c r="D521" s="31"/>
      <c r="E521" s="31"/>
      <c r="F521" s="31"/>
      <c r="G521" s="31"/>
      <c r="H521" s="33"/>
    </row>
    <row r="522" spans="1:8" ht="15">
      <c r="A522" s="32"/>
      <c r="B522" s="32"/>
      <c r="C522" s="32"/>
      <c r="D522" s="31"/>
      <c r="E522" s="31"/>
      <c r="F522" s="31"/>
      <c r="G522" s="31"/>
      <c r="H522" s="33"/>
    </row>
    <row r="523" spans="1:8" ht="19.5">
      <c r="A523" s="301" t="s">
        <v>38</v>
      </c>
      <c r="B523" s="302"/>
      <c r="C523" s="188">
        <f>C493+C203+C454+C141</f>
        <v>7522493</v>
      </c>
      <c r="D523" s="188">
        <f>D493+D203+D454+D141</f>
        <v>7722985</v>
      </c>
      <c r="E523" s="188">
        <f>E493+E203+E454+E141</f>
        <v>8064466</v>
      </c>
      <c r="F523" s="188">
        <f>F493+F203+F454+F141</f>
        <v>8050498.35</v>
      </c>
      <c r="G523" s="163">
        <f>F523/C523*100</f>
        <v>107.01902082195356</v>
      </c>
      <c r="H523" s="164">
        <f>F523/E523*100</f>
        <v>99.82680006338919</v>
      </c>
    </row>
    <row r="524" spans="1:8" ht="19.5">
      <c r="A524" s="57"/>
      <c r="B524" s="57"/>
      <c r="C524" s="57"/>
      <c r="D524" s="57"/>
      <c r="E524" s="57"/>
      <c r="F524" s="57"/>
      <c r="G524" s="57"/>
      <c r="H524" s="57"/>
    </row>
    <row r="525" spans="1:7" ht="20.25">
      <c r="A525" s="312" t="s">
        <v>21</v>
      </c>
      <c r="B525" s="312"/>
      <c r="C525" s="312"/>
      <c r="D525" s="312"/>
      <c r="E525" s="312"/>
      <c r="F525" s="312"/>
      <c r="G525" s="312"/>
    </row>
    <row r="526" spans="4:7" ht="15">
      <c r="D526" s="34"/>
      <c r="E526" s="34"/>
      <c r="F526" s="34"/>
      <c r="G526" s="34"/>
    </row>
    <row r="527" spans="4:7" ht="15">
      <c r="D527" s="34"/>
      <c r="E527" s="34"/>
      <c r="F527" s="34"/>
      <c r="G527" s="34"/>
    </row>
    <row r="528" spans="1:8" ht="15">
      <c r="A528" s="313" t="s">
        <v>53</v>
      </c>
      <c r="B528" s="315" t="s">
        <v>0</v>
      </c>
      <c r="C528" s="315" t="s">
        <v>117</v>
      </c>
      <c r="D528" s="305" t="s">
        <v>134</v>
      </c>
      <c r="E528" s="305" t="s">
        <v>232</v>
      </c>
      <c r="F528" s="305" t="s">
        <v>136</v>
      </c>
      <c r="G528" s="305" t="s">
        <v>50</v>
      </c>
      <c r="H528" s="305" t="s">
        <v>50</v>
      </c>
    </row>
    <row r="529" spans="1:8" ht="15">
      <c r="A529" s="314"/>
      <c r="B529" s="316"/>
      <c r="C529" s="316"/>
      <c r="D529" s="306"/>
      <c r="E529" s="306"/>
      <c r="F529" s="306"/>
      <c r="G529" s="306"/>
      <c r="H529" s="306"/>
    </row>
    <row r="530" spans="1:8" ht="15">
      <c r="A530" s="310">
        <v>1</v>
      </c>
      <c r="B530" s="311"/>
      <c r="C530" s="230">
        <v>2</v>
      </c>
      <c r="D530" s="231">
        <v>3</v>
      </c>
      <c r="E530" s="231">
        <v>4</v>
      </c>
      <c r="F530" s="231">
        <v>5</v>
      </c>
      <c r="G530" s="231" t="s">
        <v>51</v>
      </c>
      <c r="H530" s="231" t="s">
        <v>52</v>
      </c>
    </row>
    <row r="531" spans="1:8" ht="15">
      <c r="A531" s="238" t="s">
        <v>204</v>
      </c>
      <c r="B531" s="239" t="s">
        <v>203</v>
      </c>
      <c r="C531" s="232">
        <v>1029709</v>
      </c>
      <c r="D531" s="248">
        <v>925620</v>
      </c>
      <c r="E531" s="232">
        <v>1181901</v>
      </c>
      <c r="F531" s="232">
        <v>1074425</v>
      </c>
      <c r="G531" s="233">
        <f>F531/C531*100</f>
        <v>104.34258610927942</v>
      </c>
      <c r="H531" s="234">
        <f>F531/E531*100</f>
        <v>90.90651416658417</v>
      </c>
    </row>
    <row r="532" spans="1:8" ht="15">
      <c r="A532" s="115" t="s">
        <v>202</v>
      </c>
      <c r="B532" s="103" t="s">
        <v>22</v>
      </c>
      <c r="C532" s="103">
        <v>17622</v>
      </c>
      <c r="D532" s="249">
        <v>42005</v>
      </c>
      <c r="E532" s="103">
        <v>42005</v>
      </c>
      <c r="F532" s="103">
        <v>8754</v>
      </c>
      <c r="G532" s="95">
        <f aca="true" t="shared" si="50" ref="G532:G539">F532/C532*100</f>
        <v>49.676540687776644</v>
      </c>
      <c r="H532" s="235">
        <f aca="true" t="shared" si="51" ref="H532:H539">F532/E532*100</f>
        <v>20.84037614569694</v>
      </c>
    </row>
    <row r="533" spans="1:8" ht="15">
      <c r="A533" s="115"/>
      <c r="B533" s="103" t="s">
        <v>241</v>
      </c>
      <c r="C533" s="103">
        <v>0</v>
      </c>
      <c r="D533" s="249">
        <v>18000</v>
      </c>
      <c r="E533" s="103">
        <v>18000</v>
      </c>
      <c r="F533" s="103">
        <v>0</v>
      </c>
      <c r="G533" s="95"/>
      <c r="H533" s="235"/>
    </row>
    <row r="534" spans="1:8" ht="15">
      <c r="A534" s="115" t="s">
        <v>199</v>
      </c>
      <c r="B534" s="103" t="s">
        <v>198</v>
      </c>
      <c r="C534" s="29">
        <v>33634</v>
      </c>
      <c r="D534" s="250">
        <v>130000</v>
      </c>
      <c r="E534" s="29">
        <v>130000</v>
      </c>
      <c r="F534" s="29">
        <v>103659</v>
      </c>
      <c r="G534" s="95">
        <f t="shared" si="50"/>
        <v>308.19706249628354</v>
      </c>
      <c r="H534" s="237">
        <f t="shared" si="51"/>
        <v>79.73769230769231</v>
      </c>
    </row>
    <row r="535" spans="1:8" ht="15">
      <c r="A535" s="115"/>
      <c r="B535" s="103" t="s">
        <v>198</v>
      </c>
      <c r="C535" s="29">
        <v>0</v>
      </c>
      <c r="D535" s="250">
        <v>29000</v>
      </c>
      <c r="E535" s="29">
        <v>29000</v>
      </c>
      <c r="F535" s="29">
        <v>0</v>
      </c>
      <c r="G535" s="95"/>
      <c r="H535" s="237"/>
    </row>
    <row r="536" spans="1:8" ht="15">
      <c r="A536" s="115">
        <v>5</v>
      </c>
      <c r="B536" s="103" t="s">
        <v>23</v>
      </c>
      <c r="C536" s="95">
        <f>SUM(C537:C539)</f>
        <v>6441529</v>
      </c>
      <c r="D536" s="251">
        <f>SUM(D537:D539)</f>
        <v>6578360</v>
      </c>
      <c r="E536" s="95">
        <f>SUM(E537:E539)</f>
        <v>6663560</v>
      </c>
      <c r="F536" s="95">
        <f>SUM(F537:F539)</f>
        <v>6863660</v>
      </c>
      <c r="G536" s="95">
        <f t="shared" si="50"/>
        <v>106.55327329893261</v>
      </c>
      <c r="H536" s="237">
        <f t="shared" si="51"/>
        <v>103.00289935109761</v>
      </c>
    </row>
    <row r="537" spans="1:8" ht="15">
      <c r="A537" s="115" t="s">
        <v>206</v>
      </c>
      <c r="B537" s="103" t="s">
        <v>205</v>
      </c>
      <c r="C537" s="95">
        <v>575</v>
      </c>
      <c r="D537" s="251">
        <v>165000</v>
      </c>
      <c r="E537" s="95">
        <v>165000</v>
      </c>
      <c r="F537" s="95">
        <v>0</v>
      </c>
      <c r="G537" s="95">
        <f t="shared" si="50"/>
        <v>0</v>
      </c>
      <c r="H537" s="237">
        <f t="shared" si="51"/>
        <v>0</v>
      </c>
    </row>
    <row r="538" spans="1:8" ht="15">
      <c r="A538" s="205" t="s">
        <v>197</v>
      </c>
      <c r="B538" s="206" t="s">
        <v>196</v>
      </c>
      <c r="C538" s="93">
        <v>6435186</v>
      </c>
      <c r="D538" s="213">
        <v>6410000</v>
      </c>
      <c r="E538" s="93">
        <v>6495200</v>
      </c>
      <c r="F538" s="93">
        <v>6862291</v>
      </c>
      <c r="G538" s="95">
        <f t="shared" si="50"/>
        <v>106.63702649775779</v>
      </c>
      <c r="H538" s="236">
        <f t="shared" si="51"/>
        <v>105.65172742948639</v>
      </c>
    </row>
    <row r="539" spans="1:8" ht="15">
      <c r="A539" s="205" t="s">
        <v>201</v>
      </c>
      <c r="B539" s="206" t="s">
        <v>200</v>
      </c>
      <c r="C539" s="93">
        <v>5768</v>
      </c>
      <c r="D539" s="213">
        <v>3360</v>
      </c>
      <c r="E539" s="93">
        <v>3360</v>
      </c>
      <c r="F539" s="93">
        <v>1369</v>
      </c>
      <c r="G539" s="93">
        <f t="shared" si="50"/>
        <v>23.734396671289876</v>
      </c>
      <c r="H539" s="236">
        <f t="shared" si="51"/>
        <v>40.74404761904762</v>
      </c>
    </row>
    <row r="540" spans="1:8" ht="15">
      <c r="A540" s="245"/>
      <c r="B540" s="246"/>
      <c r="C540" s="247"/>
      <c r="D540" s="252"/>
      <c r="E540" s="247"/>
      <c r="F540" s="247"/>
      <c r="G540" s="247"/>
      <c r="H540" s="247"/>
    </row>
    <row r="541" spans="1:8" ht="15">
      <c r="A541" s="293" t="s">
        <v>88</v>
      </c>
      <c r="B541" s="294"/>
      <c r="C541" s="253">
        <f>+C531+C532+C534+C536</f>
        <v>7522494</v>
      </c>
      <c r="D541" s="253">
        <f>+D531+D532+D534+D536+D533+D535</f>
        <v>7722985</v>
      </c>
      <c r="E541" s="253">
        <f>+E531+E532+E534+E536+E533+E535</f>
        <v>8064466</v>
      </c>
      <c r="F541" s="253">
        <f>+F531+F532+F534+F536</f>
        <v>8050498</v>
      </c>
      <c r="G541" s="88">
        <f>+G531+G532+G534+G536</f>
        <v>568.7694625922722</v>
      </c>
      <c r="H541" s="88">
        <f>+H531+H532+H534+H536</f>
        <v>294.487481971071</v>
      </c>
    </row>
    <row r="542" spans="3:6" ht="15">
      <c r="C542" s="76"/>
      <c r="D542" s="76"/>
      <c r="E542" s="76"/>
      <c r="F542" s="76"/>
    </row>
    <row r="543" ht="15">
      <c r="G543" s="34"/>
    </row>
    <row r="544" spans="1:7" ht="20.25">
      <c r="A544" s="298" t="s">
        <v>49</v>
      </c>
      <c r="B544" s="298"/>
      <c r="C544" s="298"/>
      <c r="D544" s="298"/>
      <c r="E544" s="298"/>
      <c r="F544" s="298"/>
      <c r="G544" s="298"/>
    </row>
    <row r="546" spans="1:8" ht="15">
      <c r="A546" s="280" t="s">
        <v>45</v>
      </c>
      <c r="B546" s="282" t="s">
        <v>46</v>
      </c>
      <c r="C546" s="261" t="s">
        <v>117</v>
      </c>
      <c r="D546" s="263" t="s">
        <v>134</v>
      </c>
      <c r="E546" s="263" t="s">
        <v>137</v>
      </c>
      <c r="F546" s="263" t="s">
        <v>136</v>
      </c>
      <c r="G546" s="263" t="s">
        <v>50</v>
      </c>
      <c r="H546" s="263" t="s">
        <v>50</v>
      </c>
    </row>
    <row r="547" spans="1:8" ht="15">
      <c r="A547" s="281"/>
      <c r="B547" s="283"/>
      <c r="C547" s="262"/>
      <c r="D547" s="264"/>
      <c r="E547" s="264"/>
      <c r="F547" s="264"/>
      <c r="G547" s="264"/>
      <c r="H547" s="264"/>
    </row>
    <row r="548" spans="1:8" ht="15">
      <c r="A548" s="290">
        <v>1</v>
      </c>
      <c r="B548" s="291"/>
      <c r="C548" s="62">
        <v>2</v>
      </c>
      <c r="D548" s="63">
        <v>3</v>
      </c>
      <c r="E548" s="63">
        <v>4</v>
      </c>
      <c r="F548" s="63">
        <v>5</v>
      </c>
      <c r="G548" s="63" t="s">
        <v>51</v>
      </c>
      <c r="H548" s="63" t="s">
        <v>52</v>
      </c>
    </row>
    <row r="549" spans="1:8" ht="15">
      <c r="A549" s="43">
        <v>1</v>
      </c>
      <c r="B549" s="44" t="s">
        <v>203</v>
      </c>
      <c r="C549" s="44"/>
      <c r="D549" s="45"/>
      <c r="E549" s="45"/>
      <c r="F549" s="45"/>
      <c r="G549" s="161"/>
      <c r="H549" s="162"/>
    </row>
    <row r="550" spans="1:8" ht="15">
      <c r="A550" s="79"/>
      <c r="B550" s="80" t="s">
        <v>41</v>
      </c>
      <c r="C550" s="81">
        <f>C104</f>
        <v>841361</v>
      </c>
      <c r="D550" s="81">
        <f>D104</f>
        <v>925620</v>
      </c>
      <c r="E550" s="81">
        <f>E104</f>
        <v>1181901</v>
      </c>
      <c r="F550" s="81">
        <f>F104</f>
        <v>1171367</v>
      </c>
      <c r="G550" s="161">
        <f>F550/C550*100</f>
        <v>139.22287817001265</v>
      </c>
      <c r="H550" s="162">
        <f>F550/E550*100</f>
        <v>99.10872399634148</v>
      </c>
    </row>
    <row r="551" spans="1:8" ht="15">
      <c r="A551" s="82"/>
      <c r="B551" s="83" t="s">
        <v>42</v>
      </c>
      <c r="C551" s="84">
        <f>C531</f>
        <v>1029709</v>
      </c>
      <c r="D551" s="84">
        <f>D531</f>
        <v>925620</v>
      </c>
      <c r="E551" s="84">
        <f>E531</f>
        <v>1181901</v>
      </c>
      <c r="F551" s="84">
        <f>F531</f>
        <v>1074425</v>
      </c>
      <c r="G551" s="161">
        <f>F551/C551*100</f>
        <v>104.34258610927942</v>
      </c>
      <c r="H551" s="162">
        <f>F551/E551*100</f>
        <v>90.90651416658417</v>
      </c>
    </row>
    <row r="552" spans="1:8" ht="15">
      <c r="A552" s="284" t="s">
        <v>85</v>
      </c>
      <c r="B552" s="285"/>
      <c r="C552" s="78">
        <f>C550-C551</f>
        <v>-188348</v>
      </c>
      <c r="D552" s="78">
        <f>D550-D551</f>
        <v>0</v>
      </c>
      <c r="E552" s="78">
        <f>E550-E551</f>
        <v>0</v>
      </c>
      <c r="F552" s="78">
        <f>F550-F551</f>
        <v>96942</v>
      </c>
      <c r="G552" s="161">
        <f>F552/C552*100</f>
        <v>-51.46962006498609</v>
      </c>
      <c r="H552" s="162" t="e">
        <f>F552/E552*100</f>
        <v>#DIV/0!</v>
      </c>
    </row>
    <row r="553" spans="1:8" ht="15">
      <c r="A553" s="43" t="s">
        <v>208</v>
      </c>
      <c r="B553" s="44" t="s">
        <v>22</v>
      </c>
      <c r="C553" s="44"/>
      <c r="D553" s="48"/>
      <c r="E553" s="48"/>
      <c r="F553" s="48"/>
      <c r="G553" s="161"/>
      <c r="H553" s="162"/>
    </row>
    <row r="554" spans="1:8" ht="15">
      <c r="A554" s="79"/>
      <c r="B554" s="80" t="s">
        <v>41</v>
      </c>
      <c r="C554" s="81">
        <v>19915</v>
      </c>
      <c r="D554" s="81">
        <v>42005</v>
      </c>
      <c r="E554" s="81">
        <v>42005</v>
      </c>
      <c r="F554" s="81">
        <v>3010</v>
      </c>
      <c r="G554" s="161">
        <f>F554/C554*100</f>
        <v>15.114235500878733</v>
      </c>
      <c r="H554" s="162">
        <f>F554/E554*100</f>
        <v>7.1658135936198075</v>
      </c>
    </row>
    <row r="555" spans="1:8" ht="15">
      <c r="A555" s="82"/>
      <c r="B555" s="83" t="s">
        <v>42</v>
      </c>
      <c r="C555" s="84">
        <f>C532</f>
        <v>17622</v>
      </c>
      <c r="D555" s="84">
        <f>D532</f>
        <v>42005</v>
      </c>
      <c r="E555" s="84">
        <f>E532</f>
        <v>42005</v>
      </c>
      <c r="F555" s="84">
        <f>F532</f>
        <v>8754</v>
      </c>
      <c r="G555" s="161">
        <f>F555/C555*100</f>
        <v>49.676540687776644</v>
      </c>
      <c r="H555" s="162">
        <f>F555/E555*100</f>
        <v>20.84037614569694</v>
      </c>
    </row>
    <row r="556" spans="1:8" ht="15">
      <c r="A556" s="284" t="s">
        <v>86</v>
      </c>
      <c r="B556" s="285"/>
      <c r="C556" s="78">
        <f>C554-C555</f>
        <v>2293</v>
      </c>
      <c r="D556" s="78">
        <f>D554-D555</f>
        <v>0</v>
      </c>
      <c r="E556" s="78">
        <f>E554-E555</f>
        <v>0</v>
      </c>
      <c r="F556" s="78">
        <f>F554-F555</f>
        <v>-5744</v>
      </c>
      <c r="G556" s="161">
        <v>39</v>
      </c>
      <c r="H556" s="162" t="e">
        <f>F556/E556*100</f>
        <v>#DIV/0!</v>
      </c>
    </row>
    <row r="557" spans="1:8" ht="15">
      <c r="A557" s="43" t="s">
        <v>229</v>
      </c>
      <c r="B557" s="44" t="s">
        <v>198</v>
      </c>
      <c r="C557" s="44"/>
      <c r="D557" s="45"/>
      <c r="E557" s="45"/>
      <c r="F557" s="45"/>
      <c r="G557" s="161"/>
      <c r="H557" s="162"/>
    </row>
    <row r="558" spans="1:8" ht="15">
      <c r="A558" s="79"/>
      <c r="B558" s="80" t="s">
        <v>41</v>
      </c>
      <c r="C558" s="81">
        <v>48402</v>
      </c>
      <c r="D558" s="81">
        <v>130000</v>
      </c>
      <c r="E558" s="81">
        <v>130000</v>
      </c>
      <c r="F558" s="81">
        <v>89693</v>
      </c>
      <c r="G558" s="161">
        <f>F558/C558*100</f>
        <v>185.30845832816826</v>
      </c>
      <c r="H558" s="162">
        <f>F558/E558*100</f>
        <v>68.99461538461539</v>
      </c>
    </row>
    <row r="559" spans="1:8" ht="15">
      <c r="A559" s="82"/>
      <c r="B559" s="83" t="s">
        <v>42</v>
      </c>
      <c r="C559" s="84">
        <f>C534</f>
        <v>33634</v>
      </c>
      <c r="D559" s="84">
        <f>D534</f>
        <v>130000</v>
      </c>
      <c r="E559" s="84">
        <f>E534</f>
        <v>130000</v>
      </c>
      <c r="F559" s="84">
        <f>F534</f>
        <v>103659</v>
      </c>
      <c r="G559" s="161">
        <f>F559/C559*100</f>
        <v>308.19706249628354</v>
      </c>
      <c r="H559" s="162">
        <f>F559/E559*100</f>
        <v>79.73769230769231</v>
      </c>
    </row>
    <row r="560" spans="1:8" ht="15">
      <c r="A560" s="284" t="s">
        <v>86</v>
      </c>
      <c r="B560" s="285"/>
      <c r="C560" s="78">
        <f>C558-C559</f>
        <v>14768</v>
      </c>
      <c r="D560" s="78">
        <f>D558-D559</f>
        <v>0</v>
      </c>
      <c r="E560" s="78">
        <f>E558-E559</f>
        <v>0</v>
      </c>
      <c r="F560" s="78">
        <f>F558-F559</f>
        <v>-13966</v>
      </c>
      <c r="G560" s="161">
        <v>91</v>
      </c>
      <c r="H560" s="162">
        <v>79</v>
      </c>
    </row>
    <row r="561" spans="1:8" ht="15">
      <c r="A561" s="43" t="s">
        <v>230</v>
      </c>
      <c r="B561" s="44" t="s">
        <v>205</v>
      </c>
      <c r="C561" s="44"/>
      <c r="D561" s="45"/>
      <c r="E561" s="45"/>
      <c r="F561" s="45"/>
      <c r="G561" s="161"/>
      <c r="H561" s="162"/>
    </row>
    <row r="562" spans="1:8" ht="15">
      <c r="A562" s="49"/>
      <c r="B562" s="41" t="s">
        <v>41</v>
      </c>
      <c r="C562" s="42">
        <v>166050</v>
      </c>
      <c r="D562" s="42">
        <v>165000</v>
      </c>
      <c r="E562" s="42">
        <v>165000</v>
      </c>
      <c r="F562" s="42">
        <v>0</v>
      </c>
      <c r="G562" s="161">
        <f>F562/C562*100</f>
        <v>0</v>
      </c>
      <c r="H562" s="162">
        <f>F562/E562*100</f>
        <v>0</v>
      </c>
    </row>
    <row r="563" spans="1:8" ht="15">
      <c r="A563" s="50"/>
      <c r="B563" s="46" t="s">
        <v>42</v>
      </c>
      <c r="C563" s="47">
        <f>C537</f>
        <v>575</v>
      </c>
      <c r="D563" s="47">
        <f>D537</f>
        <v>165000</v>
      </c>
      <c r="E563" s="47">
        <f>E537</f>
        <v>165000</v>
      </c>
      <c r="F563" s="47">
        <f>F537</f>
        <v>0</v>
      </c>
      <c r="G563" s="161">
        <f>F563/C563*100</f>
        <v>0</v>
      </c>
      <c r="H563" s="162">
        <f>F563/E563*100</f>
        <v>0</v>
      </c>
    </row>
    <row r="564" spans="1:8" ht="15">
      <c r="A564" s="284" t="s">
        <v>86</v>
      </c>
      <c r="B564" s="285"/>
      <c r="C564" s="78">
        <f>C562-C563</f>
        <v>165475</v>
      </c>
      <c r="D564" s="78">
        <f>D562-D563</f>
        <v>0</v>
      </c>
      <c r="E564" s="78">
        <f>E562-E563</f>
        <v>0</v>
      </c>
      <c r="F564" s="78">
        <f>F562-F563</f>
        <v>0</v>
      </c>
      <c r="G564" s="161">
        <f>F564/C564*100</f>
        <v>0</v>
      </c>
      <c r="H564" s="162" t="e">
        <f>F564/E564*100</f>
        <v>#DIV/0!</v>
      </c>
    </row>
    <row r="565" spans="1:8" ht="15">
      <c r="A565" s="43" t="s">
        <v>197</v>
      </c>
      <c r="B565" s="103" t="s">
        <v>196</v>
      </c>
      <c r="C565" s="44"/>
      <c r="D565" s="45"/>
      <c r="E565" s="45"/>
      <c r="F565" s="45"/>
      <c r="G565" s="161"/>
      <c r="H565" s="162"/>
    </row>
    <row r="566" spans="1:8" ht="15">
      <c r="A566" s="49"/>
      <c r="B566" s="41" t="s">
        <v>41</v>
      </c>
      <c r="C566" s="42">
        <v>6400986</v>
      </c>
      <c r="D566" s="42">
        <v>6410000</v>
      </c>
      <c r="E566" s="42">
        <v>6495200</v>
      </c>
      <c r="F566" s="42">
        <v>6861652</v>
      </c>
      <c r="G566" s="161">
        <f>F566/C566*100</f>
        <v>107.19679749338617</v>
      </c>
      <c r="H566" s="162">
        <f>F566/E566*100</f>
        <v>105.64188939524573</v>
      </c>
    </row>
    <row r="567" spans="1:8" ht="15">
      <c r="A567" s="50"/>
      <c r="B567" s="46" t="s">
        <v>42</v>
      </c>
      <c r="C567" s="47">
        <f>C538</f>
        <v>6435186</v>
      </c>
      <c r="D567" s="47">
        <f>D538</f>
        <v>6410000</v>
      </c>
      <c r="E567" s="47">
        <f>E538</f>
        <v>6495200</v>
      </c>
      <c r="F567" s="47">
        <f>F538</f>
        <v>6862291</v>
      </c>
      <c r="G567" s="161">
        <f>F567/C567*100</f>
        <v>106.63702649775779</v>
      </c>
      <c r="H567" s="162">
        <f>F567/E567*100</f>
        <v>105.65172742948639</v>
      </c>
    </row>
    <row r="568" spans="1:8" ht="15">
      <c r="A568" s="284" t="s">
        <v>86</v>
      </c>
      <c r="B568" s="285"/>
      <c r="C568" s="78">
        <f>C566-C567</f>
        <v>-34200</v>
      </c>
      <c r="D568" s="78">
        <f>D566-D567</f>
        <v>0</v>
      </c>
      <c r="E568" s="78">
        <f>E566-E567</f>
        <v>0</v>
      </c>
      <c r="F568" s="78">
        <f>F566-F567</f>
        <v>-639</v>
      </c>
      <c r="G568" s="161">
        <f>F568/C568*100</f>
        <v>1.868421052631579</v>
      </c>
      <c r="H568" s="162" t="e">
        <f>F568/E568*100</f>
        <v>#DIV/0!</v>
      </c>
    </row>
    <row r="569" spans="1:8" ht="15">
      <c r="A569" s="43" t="s">
        <v>231</v>
      </c>
      <c r="B569" s="103" t="s">
        <v>200</v>
      </c>
      <c r="C569" s="44"/>
      <c r="D569" s="45"/>
      <c r="E569" s="45"/>
      <c r="F569" s="45"/>
      <c r="G569" s="161"/>
      <c r="H569" s="162"/>
    </row>
    <row r="570" spans="1:8" ht="15">
      <c r="A570" s="49"/>
      <c r="B570" s="41" t="s">
        <v>41</v>
      </c>
      <c r="C570" s="42">
        <v>8886</v>
      </c>
      <c r="D570" s="42">
        <v>3360</v>
      </c>
      <c r="E570" s="42">
        <v>3360</v>
      </c>
      <c r="F570" s="42">
        <v>4081</v>
      </c>
      <c r="G570" s="161">
        <f>F570/C570*100</f>
        <v>45.92617600720234</v>
      </c>
      <c r="H570" s="162">
        <f>F570/E570*100</f>
        <v>121.45833333333333</v>
      </c>
    </row>
    <row r="571" spans="1:8" ht="15">
      <c r="A571" s="50"/>
      <c r="B571" s="46" t="s">
        <v>42</v>
      </c>
      <c r="C571" s="84">
        <f>C539</f>
        <v>5768</v>
      </c>
      <c r="D571" s="84">
        <f>D539</f>
        <v>3360</v>
      </c>
      <c r="E571" s="84">
        <f>E539</f>
        <v>3360</v>
      </c>
      <c r="F571" s="84">
        <f>F539</f>
        <v>1369</v>
      </c>
      <c r="G571" s="161">
        <f>F571/C571*100</f>
        <v>23.734396671289876</v>
      </c>
      <c r="H571" s="162">
        <f>F571/E571*100</f>
        <v>40.74404761904762</v>
      </c>
    </row>
    <row r="572" spans="1:8" ht="15">
      <c r="A572" s="284" t="s">
        <v>86</v>
      </c>
      <c r="B572" s="285"/>
      <c r="C572" s="78">
        <f>C570-C571</f>
        <v>3118</v>
      </c>
      <c r="D572" s="78">
        <f>D570-D571</f>
        <v>0</v>
      </c>
      <c r="E572" s="78">
        <f>E570-E571</f>
        <v>0</v>
      </c>
      <c r="F572" s="78">
        <f>F570-F571</f>
        <v>2712</v>
      </c>
      <c r="G572" s="161">
        <v>0</v>
      </c>
      <c r="H572" s="162" t="e">
        <f>F572/E572*100</f>
        <v>#DIV/0!</v>
      </c>
    </row>
    <row r="573" spans="1:8" ht="15">
      <c r="A573" s="284"/>
      <c r="B573" s="285"/>
      <c r="C573" s="78"/>
      <c r="D573" s="78"/>
      <c r="E573" s="78"/>
      <c r="F573" s="78"/>
      <c r="G573" s="161"/>
      <c r="H573" s="162"/>
    </row>
    <row r="574" spans="1:8" ht="15">
      <c r="A574" s="284"/>
      <c r="B574" s="285"/>
      <c r="C574" s="78"/>
      <c r="D574" s="78"/>
      <c r="E574" s="78"/>
      <c r="F574" s="78"/>
      <c r="G574" s="161"/>
      <c r="H574" s="162"/>
    </row>
    <row r="575" spans="1:8" ht="15">
      <c r="A575" s="278" t="s">
        <v>43</v>
      </c>
      <c r="B575" s="279"/>
      <c r="C575" s="189">
        <f aca="true" t="shared" si="52" ref="C575:F576">C550+C554+C558+C562+C566+C570</f>
        <v>7485600</v>
      </c>
      <c r="D575" s="189">
        <f t="shared" si="52"/>
        <v>7675985</v>
      </c>
      <c r="E575" s="189">
        <f t="shared" si="52"/>
        <v>8017466</v>
      </c>
      <c r="F575" s="189">
        <f t="shared" si="52"/>
        <v>8129803</v>
      </c>
      <c r="G575" s="8">
        <f>F575/C575*100</f>
        <v>108.60589665491077</v>
      </c>
      <c r="H575" s="8">
        <f>F575/E575*100</f>
        <v>101.4011534317701</v>
      </c>
    </row>
    <row r="576" spans="1:8" ht="15">
      <c r="A576" s="278" t="s">
        <v>44</v>
      </c>
      <c r="B576" s="279"/>
      <c r="C576" s="189">
        <f t="shared" si="52"/>
        <v>7522494</v>
      </c>
      <c r="D576" s="189">
        <f t="shared" si="52"/>
        <v>7675985</v>
      </c>
      <c r="E576" s="189">
        <f t="shared" si="52"/>
        <v>8017466</v>
      </c>
      <c r="F576" s="189">
        <f t="shared" si="52"/>
        <v>8050498</v>
      </c>
      <c r="G576" s="8">
        <f>F576/C576*100</f>
        <v>107.01900194270677</v>
      </c>
      <c r="H576" s="8">
        <f>F576/E576*100</f>
        <v>100.41200049990857</v>
      </c>
    </row>
    <row r="577" spans="4:6" ht="15">
      <c r="D577" s="3"/>
      <c r="E577" s="3"/>
      <c r="F577" s="3"/>
    </row>
    <row r="580" spans="1:6" ht="15">
      <c r="A580" s="3" t="s">
        <v>239</v>
      </c>
      <c r="B580" s="3" t="s">
        <v>240</v>
      </c>
      <c r="F580" s="12" t="s">
        <v>133</v>
      </c>
    </row>
    <row r="582" spans="6:7" ht="15">
      <c r="F582" s="208"/>
      <c r="G582" s="208"/>
    </row>
    <row r="584" spans="4:7" ht="15">
      <c r="D584" s="3"/>
      <c r="E584" s="3"/>
      <c r="F584" s="12" t="s">
        <v>238</v>
      </c>
      <c r="G584" s="3"/>
    </row>
  </sheetData>
  <sheetProtection/>
  <mergeCells count="409">
    <mergeCell ref="H483:H484"/>
    <mergeCell ref="A485:B485"/>
    <mergeCell ref="A490:B490"/>
    <mergeCell ref="A387:B387"/>
    <mergeCell ref="A383:B383"/>
    <mergeCell ref="A468:B468"/>
    <mergeCell ref="A470:A471"/>
    <mergeCell ref="B470:B471"/>
    <mergeCell ref="C470:C471"/>
    <mergeCell ref="A459:B459"/>
    <mergeCell ref="A391:B391"/>
    <mergeCell ref="H304:H305"/>
    <mergeCell ref="A306:B306"/>
    <mergeCell ref="A310:B310"/>
    <mergeCell ref="E304:E305"/>
    <mergeCell ref="A316:A317"/>
    <mergeCell ref="A528:A529"/>
    <mergeCell ref="B528:B529"/>
    <mergeCell ref="C528:C529"/>
    <mergeCell ref="A455:B455"/>
    <mergeCell ref="A415:B415"/>
    <mergeCell ref="A411:B411"/>
    <mergeCell ref="B304:B305"/>
    <mergeCell ref="C304:C305"/>
    <mergeCell ref="D304:D305"/>
    <mergeCell ref="A552:B552"/>
    <mergeCell ref="A530:B530"/>
    <mergeCell ref="A525:G525"/>
    <mergeCell ref="A519:B519"/>
    <mergeCell ref="A498:B498"/>
    <mergeCell ref="A494:B494"/>
    <mergeCell ref="G528:G529"/>
    <mergeCell ref="B227:B228"/>
    <mergeCell ref="C227:C228"/>
    <mergeCell ref="D227:D228"/>
    <mergeCell ref="A464:B464"/>
    <mergeCell ref="G252:G253"/>
    <mergeCell ref="H252:H253"/>
    <mergeCell ref="A254:B254"/>
    <mergeCell ref="A263:B263"/>
    <mergeCell ref="A302:B302"/>
    <mergeCell ref="A304:A305"/>
    <mergeCell ref="H457:H458"/>
    <mergeCell ref="D470:D471"/>
    <mergeCell ref="E470:E471"/>
    <mergeCell ref="F470:F471"/>
    <mergeCell ref="G470:G471"/>
    <mergeCell ref="H470:H471"/>
    <mergeCell ref="F252:F253"/>
    <mergeCell ref="F304:F305"/>
    <mergeCell ref="A219:B219"/>
    <mergeCell ref="A223:B223"/>
    <mergeCell ref="F267:F268"/>
    <mergeCell ref="A282:B282"/>
    <mergeCell ref="A252:A253"/>
    <mergeCell ref="B252:B253"/>
    <mergeCell ref="C252:C253"/>
    <mergeCell ref="D252:D253"/>
    <mergeCell ref="G227:G228"/>
    <mergeCell ref="A229:B229"/>
    <mergeCell ref="A239:B239"/>
    <mergeCell ref="A249:B249"/>
    <mergeCell ref="A267:A268"/>
    <mergeCell ref="A227:A228"/>
    <mergeCell ref="E267:E268"/>
    <mergeCell ref="E227:E228"/>
    <mergeCell ref="F227:F228"/>
    <mergeCell ref="E252:E253"/>
    <mergeCell ref="A204:B204"/>
    <mergeCell ref="A206:A207"/>
    <mergeCell ref="B206:B207"/>
    <mergeCell ref="C206:C207"/>
    <mergeCell ref="D206:D207"/>
    <mergeCell ref="E206:E207"/>
    <mergeCell ref="A208:B208"/>
    <mergeCell ref="E217:E218"/>
    <mergeCell ref="F217:F218"/>
    <mergeCell ref="G217:G218"/>
    <mergeCell ref="A212:B212"/>
    <mergeCell ref="A215:B215"/>
    <mergeCell ref="A217:A218"/>
    <mergeCell ref="B217:B218"/>
    <mergeCell ref="C217:C218"/>
    <mergeCell ref="D217:D218"/>
    <mergeCell ref="D316:D317"/>
    <mergeCell ref="E316:E317"/>
    <mergeCell ref="F316:F317"/>
    <mergeCell ref="G316:G317"/>
    <mergeCell ref="H316:H317"/>
    <mergeCell ref="E243:E244"/>
    <mergeCell ref="F243:F244"/>
    <mergeCell ref="G243:G244"/>
    <mergeCell ref="G284:G285"/>
    <mergeCell ref="G304:G305"/>
    <mergeCell ref="A318:B318"/>
    <mergeCell ref="A322:B322"/>
    <mergeCell ref="A314:B314"/>
    <mergeCell ref="A326:A327"/>
    <mergeCell ref="B326:B327"/>
    <mergeCell ref="C326:C327"/>
    <mergeCell ref="C316:C317"/>
    <mergeCell ref="B316:B317"/>
    <mergeCell ref="A336:B336"/>
    <mergeCell ref="H243:H244"/>
    <mergeCell ref="D326:D327"/>
    <mergeCell ref="E326:E327"/>
    <mergeCell ref="F326:F327"/>
    <mergeCell ref="G326:G327"/>
    <mergeCell ref="H326:H327"/>
    <mergeCell ref="H267:H268"/>
    <mergeCell ref="E284:E285"/>
    <mergeCell ref="F284:F285"/>
    <mergeCell ref="F338:F339"/>
    <mergeCell ref="G338:G339"/>
    <mergeCell ref="H338:H339"/>
    <mergeCell ref="A340:B340"/>
    <mergeCell ref="A344:B344"/>
    <mergeCell ref="A328:B328"/>
    <mergeCell ref="A332:B332"/>
    <mergeCell ref="A338:A339"/>
    <mergeCell ref="B338:B339"/>
    <mergeCell ref="C338:C339"/>
    <mergeCell ref="D528:D529"/>
    <mergeCell ref="E528:E529"/>
    <mergeCell ref="E385:E386"/>
    <mergeCell ref="F528:F529"/>
    <mergeCell ref="H528:H529"/>
    <mergeCell ref="A348:B348"/>
    <mergeCell ref="A350:A351"/>
    <mergeCell ref="B350:B351"/>
    <mergeCell ref="C350:C351"/>
    <mergeCell ref="D350:D351"/>
    <mergeCell ref="E350:E351"/>
    <mergeCell ref="A472:B472"/>
    <mergeCell ref="F385:F386"/>
    <mergeCell ref="G385:G386"/>
    <mergeCell ref="H385:H386"/>
    <mergeCell ref="A385:A386"/>
    <mergeCell ref="B385:B386"/>
    <mergeCell ref="C385:C386"/>
    <mergeCell ref="D385:D386"/>
    <mergeCell ref="A395:B395"/>
    <mergeCell ref="D483:D484"/>
    <mergeCell ref="E483:E484"/>
    <mergeCell ref="A417:A418"/>
    <mergeCell ref="A397:A398"/>
    <mergeCell ref="B397:B398"/>
    <mergeCell ref="C397:C398"/>
    <mergeCell ref="D397:D398"/>
    <mergeCell ref="E397:E398"/>
    <mergeCell ref="E457:E458"/>
    <mergeCell ref="A399:B399"/>
    <mergeCell ref="D417:D418"/>
    <mergeCell ref="E417:E418"/>
    <mergeCell ref="F417:F418"/>
    <mergeCell ref="G417:G418"/>
    <mergeCell ref="G397:G398"/>
    <mergeCell ref="H397:H398"/>
    <mergeCell ref="F397:F398"/>
    <mergeCell ref="H417:H418"/>
    <mergeCell ref="A419:B419"/>
    <mergeCell ref="A431:B431"/>
    <mergeCell ref="A435:B435"/>
    <mergeCell ref="A437:A438"/>
    <mergeCell ref="B437:B438"/>
    <mergeCell ref="C437:C438"/>
    <mergeCell ref="D437:D438"/>
    <mergeCell ref="E437:E438"/>
    <mergeCell ref="F437:F438"/>
    <mergeCell ref="G437:G438"/>
    <mergeCell ref="H437:H438"/>
    <mergeCell ref="A439:B439"/>
    <mergeCell ref="A451:B451"/>
    <mergeCell ref="A457:A458"/>
    <mergeCell ref="B457:B458"/>
    <mergeCell ref="C457:C458"/>
    <mergeCell ref="D457:D458"/>
    <mergeCell ref="F457:F458"/>
    <mergeCell ref="G457:G458"/>
    <mergeCell ref="G483:G484"/>
    <mergeCell ref="A496:A497"/>
    <mergeCell ref="B496:B497"/>
    <mergeCell ref="C496:C497"/>
    <mergeCell ref="D496:D497"/>
    <mergeCell ref="E496:E497"/>
    <mergeCell ref="F496:F497"/>
    <mergeCell ref="A483:A484"/>
    <mergeCell ref="B483:B484"/>
    <mergeCell ref="C483:C484"/>
    <mergeCell ref="D338:D339"/>
    <mergeCell ref="G496:G497"/>
    <mergeCell ref="H496:H497"/>
    <mergeCell ref="H227:H228"/>
    <mergeCell ref="A374:A375"/>
    <mergeCell ref="B374:B375"/>
    <mergeCell ref="C374:C375"/>
    <mergeCell ref="D374:D375"/>
    <mergeCell ref="E374:E375"/>
    <mergeCell ref="F483:F484"/>
    <mergeCell ref="H284:H285"/>
    <mergeCell ref="A376:B376"/>
    <mergeCell ref="A380:B380"/>
    <mergeCell ref="A243:A244"/>
    <mergeCell ref="B243:B244"/>
    <mergeCell ref="C243:C244"/>
    <mergeCell ref="D243:D244"/>
    <mergeCell ref="A245:B245"/>
    <mergeCell ref="A352:B352"/>
    <mergeCell ref="A371:B371"/>
    <mergeCell ref="F374:F375"/>
    <mergeCell ref="G374:G375"/>
    <mergeCell ref="H374:H375"/>
    <mergeCell ref="F350:F351"/>
    <mergeCell ref="G350:G351"/>
    <mergeCell ref="H350:H351"/>
    <mergeCell ref="E338:E339"/>
    <mergeCell ref="A284:A285"/>
    <mergeCell ref="B284:B285"/>
    <mergeCell ref="C284:C285"/>
    <mergeCell ref="D284:D285"/>
    <mergeCell ref="B267:B268"/>
    <mergeCell ref="C267:C268"/>
    <mergeCell ref="D267:D268"/>
    <mergeCell ref="A286:B286"/>
    <mergeCell ref="A298:B298"/>
    <mergeCell ref="H206:H207"/>
    <mergeCell ref="H192:H193"/>
    <mergeCell ref="A194:B194"/>
    <mergeCell ref="A198:B198"/>
    <mergeCell ref="A269:B269"/>
    <mergeCell ref="A278:B278"/>
    <mergeCell ref="G267:G268"/>
    <mergeCell ref="H217:H218"/>
    <mergeCell ref="F206:F207"/>
    <mergeCell ref="G206:G207"/>
    <mergeCell ref="D182:D183"/>
    <mergeCell ref="E182:E183"/>
    <mergeCell ref="A190:B190"/>
    <mergeCell ref="A192:A193"/>
    <mergeCell ref="B192:B193"/>
    <mergeCell ref="C192:C193"/>
    <mergeCell ref="D192:D193"/>
    <mergeCell ref="A184:B184"/>
    <mergeCell ref="A188:B188"/>
    <mergeCell ref="A182:A183"/>
    <mergeCell ref="B182:B183"/>
    <mergeCell ref="C182:C183"/>
    <mergeCell ref="A523:B523"/>
    <mergeCell ref="A568:B568"/>
    <mergeCell ref="A556:B556"/>
    <mergeCell ref="B417:B418"/>
    <mergeCell ref="C417:C418"/>
    <mergeCell ref="A477:B477"/>
    <mergeCell ref="A481:B481"/>
    <mergeCell ref="A142:B142"/>
    <mergeCell ref="C101:C102"/>
    <mergeCell ref="D101:D102"/>
    <mergeCell ref="A101:A102"/>
    <mergeCell ref="A548:B548"/>
    <mergeCell ref="A544:G544"/>
    <mergeCell ref="G182:G183"/>
    <mergeCell ref="G101:G102"/>
    <mergeCell ref="C144:C145"/>
    <mergeCell ref="A180:B180"/>
    <mergeCell ref="G144:G145"/>
    <mergeCell ref="E192:E193"/>
    <mergeCell ref="F192:F193"/>
    <mergeCell ref="E125:E126"/>
    <mergeCell ref="G192:G193"/>
    <mergeCell ref="H78:H79"/>
    <mergeCell ref="H182:H183"/>
    <mergeCell ref="F182:F183"/>
    <mergeCell ref="E60:E61"/>
    <mergeCell ref="F60:F61"/>
    <mergeCell ref="E101:E102"/>
    <mergeCell ref="F101:F102"/>
    <mergeCell ref="A88:B88"/>
    <mergeCell ref="A99:H99"/>
    <mergeCell ref="A66:B66"/>
    <mergeCell ref="H60:H61"/>
    <mergeCell ref="H101:H102"/>
    <mergeCell ref="A139:H139"/>
    <mergeCell ref="E144:E145"/>
    <mergeCell ref="F144:F145"/>
    <mergeCell ref="C117:C118"/>
    <mergeCell ref="C125:C126"/>
    <mergeCell ref="H546:H547"/>
    <mergeCell ref="C546:C547"/>
    <mergeCell ref="D546:D547"/>
    <mergeCell ref="E546:E547"/>
    <mergeCell ref="F546:F547"/>
    <mergeCell ref="B117:B118"/>
    <mergeCell ref="D117:D118"/>
    <mergeCell ref="A541:B541"/>
    <mergeCell ref="A134:B134"/>
    <mergeCell ref="G117:G118"/>
    <mergeCell ref="A34:B34"/>
    <mergeCell ref="A103:B103"/>
    <mergeCell ref="A177:B177"/>
    <mergeCell ref="A125:A126"/>
    <mergeCell ref="B125:B126"/>
    <mergeCell ref="H144:H145"/>
    <mergeCell ref="A146:B146"/>
    <mergeCell ref="A133:B133"/>
    <mergeCell ref="A1:G1"/>
    <mergeCell ref="A144:A145"/>
    <mergeCell ref="B144:B145"/>
    <mergeCell ref="D144:D145"/>
    <mergeCell ref="A130:B130"/>
    <mergeCell ref="A18:B18"/>
    <mergeCell ref="A3:G3"/>
    <mergeCell ref="A6:A7"/>
    <mergeCell ref="A12:B12"/>
    <mergeCell ref="B6:B7"/>
    <mergeCell ref="H16:H17"/>
    <mergeCell ref="A16:A17"/>
    <mergeCell ref="B16:B17"/>
    <mergeCell ref="C16:C17"/>
    <mergeCell ref="D6:D7"/>
    <mergeCell ref="E6:E7"/>
    <mergeCell ref="F6:F7"/>
    <mergeCell ref="H6:H7"/>
    <mergeCell ref="C6:C7"/>
    <mergeCell ref="G6:G7"/>
    <mergeCell ref="D25:D26"/>
    <mergeCell ref="E25:E26"/>
    <mergeCell ref="G25:G26"/>
    <mergeCell ref="C25:C26"/>
    <mergeCell ref="H25:H26"/>
    <mergeCell ref="E16:E17"/>
    <mergeCell ref="G16:G17"/>
    <mergeCell ref="A575:B575"/>
    <mergeCell ref="A546:A547"/>
    <mergeCell ref="G546:G547"/>
    <mergeCell ref="B546:B547"/>
    <mergeCell ref="A576:B576"/>
    <mergeCell ref="A573:B573"/>
    <mergeCell ref="A574:B574"/>
    <mergeCell ref="A560:B560"/>
    <mergeCell ref="A564:B564"/>
    <mergeCell ref="A572:B572"/>
    <mergeCell ref="A8:B8"/>
    <mergeCell ref="F125:F126"/>
    <mergeCell ref="G125:G126"/>
    <mergeCell ref="F25:F26"/>
    <mergeCell ref="H125:H126"/>
    <mergeCell ref="D125:D126"/>
    <mergeCell ref="E117:E118"/>
    <mergeCell ref="H117:H118"/>
    <mergeCell ref="A117:A118"/>
    <mergeCell ref="D16:D17"/>
    <mergeCell ref="B25:B26"/>
    <mergeCell ref="F16:F17"/>
    <mergeCell ref="A25:A26"/>
    <mergeCell ref="A22:B22"/>
    <mergeCell ref="E40:E41"/>
    <mergeCell ref="A80:B80"/>
    <mergeCell ref="A27:B27"/>
    <mergeCell ref="B60:B61"/>
    <mergeCell ref="C60:C61"/>
    <mergeCell ref="D60:D61"/>
    <mergeCell ref="H70:H71"/>
    <mergeCell ref="A72:B72"/>
    <mergeCell ref="A75:B75"/>
    <mergeCell ref="G40:G41"/>
    <mergeCell ref="H40:H41"/>
    <mergeCell ref="A42:B42"/>
    <mergeCell ref="A50:A51"/>
    <mergeCell ref="B50:B51"/>
    <mergeCell ref="C50:C51"/>
    <mergeCell ref="A62:B62"/>
    <mergeCell ref="I42:I43"/>
    <mergeCell ref="J42:J43"/>
    <mergeCell ref="K42:K43"/>
    <mergeCell ref="A40:A41"/>
    <mergeCell ref="B40:B41"/>
    <mergeCell ref="C40:C41"/>
    <mergeCell ref="D40:D41"/>
    <mergeCell ref="F40:F41"/>
    <mergeCell ref="H50:H51"/>
    <mergeCell ref="L42:L43"/>
    <mergeCell ref="M42:M43"/>
    <mergeCell ref="A45:B45"/>
    <mergeCell ref="A70:A71"/>
    <mergeCell ref="B70:B71"/>
    <mergeCell ref="C70:C71"/>
    <mergeCell ref="D70:D71"/>
    <mergeCell ref="E70:E71"/>
    <mergeCell ref="F70:F71"/>
    <mergeCell ref="G78:G79"/>
    <mergeCell ref="A55:B55"/>
    <mergeCell ref="A52:B52"/>
    <mergeCell ref="D50:D51"/>
    <mergeCell ref="E50:E51"/>
    <mergeCell ref="F50:F51"/>
    <mergeCell ref="G50:G51"/>
    <mergeCell ref="G70:G71"/>
    <mergeCell ref="G60:G61"/>
    <mergeCell ref="A60:A61"/>
    <mergeCell ref="A122:B122"/>
    <mergeCell ref="F117:F118"/>
    <mergeCell ref="A78:A79"/>
    <mergeCell ref="B78:B79"/>
    <mergeCell ref="C78:C79"/>
    <mergeCell ref="D78:D79"/>
    <mergeCell ref="E78:E79"/>
    <mergeCell ref="F78:F79"/>
    <mergeCell ref="B101:B102"/>
    <mergeCell ref="A83:B83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HGPC</cp:lastModifiedBy>
  <cp:lastPrinted>2021-02-23T11:59:13Z</cp:lastPrinted>
  <dcterms:created xsi:type="dcterms:W3CDTF">1996-10-14T23:33:28Z</dcterms:created>
  <dcterms:modified xsi:type="dcterms:W3CDTF">2023-01-12T13:24:49Z</dcterms:modified>
  <cp:category/>
  <cp:version/>
  <cp:contentType/>
  <cp:contentStatus/>
</cp:coreProperties>
</file>